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0" yWindow="96" windowWidth="16608" windowHeight="9432" tabRatio="680"/>
  </bookViews>
  <sheets>
    <sheet name="Master " sheetId="1" r:id="rId1"/>
    <sheet name="包裹1" sheetId="2" r:id="rId2"/>
    <sheet name="包裹2" sheetId="4" r:id="rId3"/>
    <sheet name="包裹3" sheetId="3" r:id="rId4"/>
    <sheet name="包裹4" sheetId="5" r:id="rId5"/>
    <sheet name="包裹5" sheetId="6" r:id="rId6"/>
    <sheet name="包裹6" sheetId="7" r:id="rId7"/>
    <sheet name="包裹7" sheetId="8" r:id="rId8"/>
    <sheet name="包裹8" sheetId="9" r:id="rId9"/>
    <sheet name="包裹9" sheetId="10" r:id="rId10"/>
    <sheet name="包裹10" sheetId="11" r:id="rId11"/>
    <sheet name="包裹11" sheetId="12" r:id="rId12"/>
    <sheet name="包裹12" sheetId="13" r:id="rId13"/>
    <sheet name="包裹13" sheetId="14" r:id="rId14"/>
    <sheet name="包裹14" sheetId="15" r:id="rId15"/>
    <sheet name="包裹15" sheetId="16" r:id="rId16"/>
    <sheet name="包裹16" sheetId="17" r:id="rId17"/>
    <sheet name="包裹17" sheetId="18" r:id="rId18"/>
    <sheet name="包裹18" sheetId="19" r:id="rId19"/>
    <sheet name="包裹19" sheetId="20" r:id="rId20"/>
    <sheet name="包裹20" sheetId="21" r:id="rId21"/>
    <sheet name="包裹21" sheetId="22" r:id="rId22"/>
    <sheet name="包裹22" sheetId="23" r:id="rId23"/>
    <sheet name="包裹23" sheetId="24" r:id="rId24"/>
    <sheet name="包裹24" sheetId="25" r:id="rId25"/>
    <sheet name="包裹25" sheetId="26" r:id="rId26"/>
    <sheet name="包裹26" sheetId="28" r:id="rId27"/>
    <sheet name="包裹27" sheetId="29" r:id="rId28"/>
    <sheet name="包裹28" sheetId="30" r:id="rId29"/>
    <sheet name="包裹29" sheetId="31" r:id="rId30"/>
    <sheet name="包裹30" sheetId="32" r:id="rId31"/>
    <sheet name="包裹31" sheetId="33" r:id="rId32"/>
    <sheet name="包裹32" sheetId="34" r:id="rId33"/>
    <sheet name="包裹33" sheetId="35" r:id="rId34"/>
    <sheet name="包裹34" sheetId="36" r:id="rId35"/>
    <sheet name="包裹35" sheetId="37" r:id="rId36"/>
    <sheet name="包裹36" sheetId="38" r:id="rId37"/>
    <sheet name="包裹37" sheetId="39" r:id="rId38"/>
    <sheet name="包裹38" sheetId="40" r:id="rId39"/>
    <sheet name="包裹39" sheetId="41" r:id="rId40"/>
    <sheet name="包裹40" sheetId="42" r:id="rId41"/>
    <sheet name="包裹41" sheetId="43" r:id="rId42"/>
    <sheet name="包裹42" sheetId="44" r:id="rId43"/>
    <sheet name="包裹43" sheetId="46" r:id="rId44"/>
    <sheet name="包裹44" sheetId="47" r:id="rId45"/>
    <sheet name="包裹45" sheetId="48" r:id="rId46"/>
    <sheet name="Sheet1" sheetId="49" r:id="rId47"/>
  </sheets>
  <calcPr calcId="144525"/>
</workbook>
</file>

<file path=xl/calcChain.xml><?xml version="1.0" encoding="utf-8"?>
<calcChain xmlns="http://schemas.openxmlformats.org/spreadsheetml/2006/main">
  <c r="W265" i="1" l="1"/>
  <c r="V265" i="1"/>
  <c r="W294" i="1" l="1"/>
  <c r="W293" i="1"/>
  <c r="V293" i="1"/>
  <c r="V294" i="1"/>
  <c r="W296" i="1"/>
  <c r="V296" i="1"/>
  <c r="J281" i="1"/>
  <c r="Q281" i="1" s="1"/>
  <c r="R281" i="1" s="1"/>
  <c r="I281" i="1"/>
  <c r="K281" i="1" l="1"/>
  <c r="V256" i="1"/>
  <c r="H288" i="1"/>
  <c r="J288" i="1"/>
  <c r="H287" i="1"/>
  <c r="J287" i="1" s="1"/>
  <c r="Q287" i="1" s="1"/>
  <c r="R287" i="1" s="1"/>
  <c r="H283" i="1"/>
  <c r="J283" i="1" s="1"/>
  <c r="Q283" i="1" s="1"/>
  <c r="R283" i="1" s="1"/>
  <c r="J282" i="1"/>
  <c r="Q282" i="1" s="1"/>
  <c r="R282" i="1" s="1"/>
  <c r="I282" i="1"/>
  <c r="H279" i="1"/>
  <c r="J279" i="1" s="1"/>
  <c r="Q279" i="1" s="1"/>
  <c r="R279" i="1" s="1"/>
  <c r="J278" i="1"/>
  <c r="Q278" i="1" s="1"/>
  <c r="R278" i="1" s="1"/>
  <c r="I278" i="1"/>
  <c r="H276" i="1"/>
  <c r="I276" i="1" s="1"/>
  <c r="H275" i="1"/>
  <c r="J275" i="1" s="1"/>
  <c r="H274" i="1"/>
  <c r="J274" i="1" s="1"/>
  <c r="H273" i="1"/>
  <c r="J273" i="1" s="1"/>
  <c r="Q273" i="1" s="1"/>
  <c r="R273" i="1" s="1"/>
  <c r="H272" i="1"/>
  <c r="I272" i="1" s="1"/>
  <c r="H271" i="1"/>
  <c r="I271" i="1" s="1"/>
  <c r="J272" i="1"/>
  <c r="Q272" i="1" s="1"/>
  <c r="R272" i="1" s="1"/>
  <c r="J271" i="1"/>
  <c r="Q271" i="1" s="1"/>
  <c r="R271" i="1" s="1"/>
  <c r="H269" i="1"/>
  <c r="H268" i="1"/>
  <c r="I268" i="1" s="1"/>
  <c r="H267" i="1"/>
  <c r="J267" i="1" s="1"/>
  <c r="Q267" i="1" s="1"/>
  <c r="R267" i="1" s="1"/>
  <c r="H266" i="1"/>
  <c r="J266" i="1" s="1"/>
  <c r="Q266" i="1" s="1"/>
  <c r="R266" i="1" s="1"/>
  <c r="H265" i="1"/>
  <c r="J268" i="1"/>
  <c r="Q268" i="1" s="1"/>
  <c r="R268" i="1" s="1"/>
  <c r="J286" i="1"/>
  <c r="Q286" i="1" s="1"/>
  <c r="R286" i="1" s="1"/>
  <c r="I286" i="1"/>
  <c r="J280" i="1"/>
  <c r="Q280" i="1" s="1"/>
  <c r="R280" i="1" s="1"/>
  <c r="I280" i="1"/>
  <c r="V232" i="1"/>
  <c r="V219" i="1"/>
  <c r="V216" i="1"/>
  <c r="V250" i="1"/>
  <c r="V222" i="1"/>
  <c r="V225" i="1"/>
  <c r="V242" i="1"/>
  <c r="V228" i="1"/>
  <c r="V248" i="1"/>
  <c r="V234" i="1"/>
  <c r="V249" i="1"/>
  <c r="V239" i="1"/>
  <c r="V237" i="1"/>
  <c r="V247" i="1"/>
  <c r="V251" i="1"/>
  <c r="V230" i="1"/>
  <c r="I240" i="1"/>
  <c r="J240" i="1"/>
  <c r="J250" i="1"/>
  <c r="Q250" i="1" s="1"/>
  <c r="R250" i="1" s="1"/>
  <c r="I250" i="1"/>
  <c r="J249" i="1"/>
  <c r="Q249" i="1" s="1"/>
  <c r="R249" i="1" s="1"/>
  <c r="I249" i="1"/>
  <c r="J245" i="1"/>
  <c r="Q245" i="1" s="1"/>
  <c r="R245" i="1" s="1"/>
  <c r="I245" i="1"/>
  <c r="H246" i="1"/>
  <c r="J246" i="1" s="1"/>
  <c r="H244" i="1"/>
  <c r="J244" i="1" s="1"/>
  <c r="H243" i="1"/>
  <c r="J243" i="1" s="1"/>
  <c r="J248" i="1"/>
  <c r="Q248" i="1" s="1"/>
  <c r="R248" i="1" s="1"/>
  <c r="I248" i="1"/>
  <c r="J247" i="1"/>
  <c r="Q247" i="1" s="1"/>
  <c r="R247" i="1" s="1"/>
  <c r="I247" i="1"/>
  <c r="J233" i="1"/>
  <c r="Q233" i="1" s="1"/>
  <c r="R233" i="1" s="1"/>
  <c r="I233" i="1"/>
  <c r="H221" i="1"/>
  <c r="J221" i="1" s="1"/>
  <c r="H218" i="1"/>
  <c r="I218" i="1" s="1"/>
  <c r="J218" i="1"/>
  <c r="I231" i="1"/>
  <c r="J231" i="1"/>
  <c r="I230" i="1"/>
  <c r="J230" i="1"/>
  <c r="Q230" i="1" s="1"/>
  <c r="R230" i="1" s="1"/>
  <c r="J227" i="1"/>
  <c r="Q227" i="1" s="1"/>
  <c r="R227" i="1" s="1"/>
  <c r="I227" i="1"/>
  <c r="K227" i="1" s="1"/>
  <c r="J236" i="1"/>
  <c r="Q236" i="1" s="1"/>
  <c r="R236" i="1" s="1"/>
  <c r="I236" i="1"/>
  <c r="J241" i="1"/>
  <c r="Q241" i="1" s="1"/>
  <c r="R241" i="1" s="1"/>
  <c r="I241" i="1"/>
  <c r="J219" i="1"/>
  <c r="Q219" i="1" s="1"/>
  <c r="R219" i="1" s="1"/>
  <c r="I219" i="1"/>
  <c r="J217" i="1"/>
  <c r="Q217" i="1" s="1"/>
  <c r="R217" i="1" s="1"/>
  <c r="I217" i="1"/>
  <c r="J220" i="1"/>
  <c r="I220" i="1"/>
  <c r="V205" i="1"/>
  <c r="H208" i="1"/>
  <c r="H207" i="1"/>
  <c r="H206" i="1"/>
  <c r="H205" i="1"/>
  <c r="V196" i="1"/>
  <c r="V200" i="1"/>
  <c r="V180" i="1"/>
  <c r="V198" i="1"/>
  <c r="V162" i="1"/>
  <c r="J203" i="1"/>
  <c r="Q203" i="1" s="1"/>
  <c r="R203" i="1" s="1"/>
  <c r="I203" i="1"/>
  <c r="H202" i="1"/>
  <c r="H201" i="1"/>
  <c r="H200" i="1"/>
  <c r="K44" i="41"/>
  <c r="I42" i="41"/>
  <c r="I29" i="41"/>
  <c r="I16" i="41"/>
  <c r="H198" i="1"/>
  <c r="J198" i="1" s="1"/>
  <c r="K198" i="1" s="1"/>
  <c r="K286" i="1" l="1"/>
  <c r="I287" i="1"/>
  <c r="I267" i="1"/>
  <c r="I266" i="1"/>
  <c r="Q288" i="1"/>
  <c r="R288" i="1" s="1"/>
  <c r="K288" i="1"/>
  <c r="I288" i="1"/>
  <c r="K287" i="1"/>
  <c r="K203" i="1"/>
  <c r="W203" i="1"/>
  <c r="K247" i="1"/>
  <c r="K271" i="1"/>
  <c r="I279" i="1"/>
  <c r="K279" i="1" s="1"/>
  <c r="I283" i="1"/>
  <c r="K283" i="1" s="1"/>
  <c r="K282" i="1"/>
  <c r="I273" i="1"/>
  <c r="K273" i="1" s="1"/>
  <c r="J276" i="1"/>
  <c r="K278" i="1"/>
  <c r="Q275" i="1"/>
  <c r="R275" i="1" s="1"/>
  <c r="I275" i="1"/>
  <c r="K275" i="1" s="1"/>
  <c r="Q274" i="1"/>
  <c r="R274" i="1" s="1"/>
  <c r="I274" i="1"/>
  <c r="K274" i="1" s="1"/>
  <c r="K272" i="1"/>
  <c r="K266" i="1"/>
  <c r="K267" i="1"/>
  <c r="K268" i="1"/>
  <c r="K240" i="1"/>
  <c r="K219" i="1"/>
  <c r="K218" i="1"/>
  <c r="K249" i="1"/>
  <c r="W248" i="1"/>
  <c r="W250" i="1"/>
  <c r="W247" i="1"/>
  <c r="W249" i="1"/>
  <c r="K280" i="1"/>
  <c r="Q240" i="1"/>
  <c r="R240" i="1" s="1"/>
  <c r="K231" i="1"/>
  <c r="K250" i="1"/>
  <c r="K245" i="1"/>
  <c r="Q246" i="1"/>
  <c r="R246" i="1" s="1"/>
  <c r="I246" i="1"/>
  <c r="K246" i="1" s="1"/>
  <c r="Q244" i="1"/>
  <c r="R244" i="1" s="1"/>
  <c r="I244" i="1"/>
  <c r="K244" i="1" s="1"/>
  <c r="Q243" i="1"/>
  <c r="R243" i="1" s="1"/>
  <c r="I243" i="1"/>
  <c r="K243" i="1" s="1"/>
  <c r="Q231" i="1"/>
  <c r="K230" i="1"/>
  <c r="K248" i="1"/>
  <c r="K233" i="1"/>
  <c r="Q221" i="1"/>
  <c r="R221" i="1" s="1"/>
  <c r="I221" i="1"/>
  <c r="K221" i="1" s="1"/>
  <c r="Q218" i="1"/>
  <c r="R218" i="1" s="1"/>
  <c r="K220" i="1"/>
  <c r="K236" i="1"/>
  <c r="K241" i="1"/>
  <c r="K217" i="1"/>
  <c r="Q220" i="1"/>
  <c r="R220" i="1" s="1"/>
  <c r="J197" i="1"/>
  <c r="Q197" i="1" s="1"/>
  <c r="R197" i="1" s="1"/>
  <c r="Q198" i="1"/>
  <c r="W198" i="1" s="1"/>
  <c r="J199" i="1"/>
  <c r="Q199" i="1" s="1"/>
  <c r="R199" i="1" s="1"/>
  <c r="J200" i="1"/>
  <c r="Q200" i="1" s="1"/>
  <c r="J201" i="1"/>
  <c r="Q201" i="1" s="1"/>
  <c r="R201" i="1" s="1"/>
  <c r="J202" i="1"/>
  <c r="Q202" i="1" s="1"/>
  <c r="R202" i="1" s="1"/>
  <c r="J204" i="1"/>
  <c r="Q204" i="1" s="1"/>
  <c r="R204" i="1" s="1"/>
  <c r="J205" i="1"/>
  <c r="J206" i="1"/>
  <c r="Q206" i="1" s="1"/>
  <c r="J207" i="1"/>
  <c r="J208" i="1"/>
  <c r="Q208" i="1" s="1"/>
  <c r="R208" i="1" s="1"/>
  <c r="J209" i="1"/>
  <c r="J210" i="1"/>
  <c r="Q210" i="1" s="1"/>
  <c r="J211" i="1"/>
  <c r="J212" i="1"/>
  <c r="Q212" i="1" s="1"/>
  <c r="J213" i="1"/>
  <c r="J214" i="1"/>
  <c r="Q214" i="1" s="1"/>
  <c r="J215" i="1"/>
  <c r="J216" i="1"/>
  <c r="Q216" i="1" s="1"/>
  <c r="J222" i="1"/>
  <c r="J223" i="1"/>
  <c r="Q223" i="1" s="1"/>
  <c r="R223" i="1" s="1"/>
  <c r="J224" i="1"/>
  <c r="J225" i="1"/>
  <c r="Q225" i="1" s="1"/>
  <c r="J226" i="1"/>
  <c r="J228" i="1"/>
  <c r="Q228" i="1" s="1"/>
  <c r="J229" i="1"/>
  <c r="J232" i="1"/>
  <c r="Q232" i="1" s="1"/>
  <c r="J234" i="1"/>
  <c r="J235" i="1"/>
  <c r="Q235" i="1" s="1"/>
  <c r="R235" i="1" s="1"/>
  <c r="J237" i="1"/>
  <c r="J238" i="1"/>
  <c r="Q238" i="1" s="1"/>
  <c r="R238" i="1" s="1"/>
  <c r="J239" i="1"/>
  <c r="J242" i="1"/>
  <c r="J251" i="1"/>
  <c r="Q251" i="1" s="1"/>
  <c r="J252" i="1"/>
  <c r="J253" i="1"/>
  <c r="Q253" i="1" s="1"/>
  <c r="J254" i="1"/>
  <c r="J256" i="1"/>
  <c r="Q256" i="1" s="1"/>
  <c r="J257" i="1"/>
  <c r="Q257" i="1" s="1"/>
  <c r="R257" i="1" s="1"/>
  <c r="J258" i="1"/>
  <c r="J259" i="1"/>
  <c r="Q259" i="1" s="1"/>
  <c r="R259" i="1" s="1"/>
  <c r="J260" i="1"/>
  <c r="J261" i="1"/>
  <c r="Q261" i="1" s="1"/>
  <c r="J262" i="1"/>
  <c r="J263" i="1"/>
  <c r="Q263" i="1" s="1"/>
  <c r="R263" i="1" s="1"/>
  <c r="J265" i="1"/>
  <c r="Q265" i="1" s="1"/>
  <c r="R265" i="1" s="1"/>
  <c r="J269" i="1"/>
  <c r="J270" i="1"/>
  <c r="Q270" i="1" s="1"/>
  <c r="R270" i="1" s="1"/>
  <c r="J277" i="1"/>
  <c r="Q277" i="1" s="1"/>
  <c r="R277" i="1" s="1"/>
  <c r="J284" i="1"/>
  <c r="J285" i="1"/>
  <c r="Q285" i="1" s="1"/>
  <c r="R285" i="1" s="1"/>
  <c r="J290" i="1"/>
  <c r="J291" i="1"/>
  <c r="Q291" i="1" s="1"/>
  <c r="J293" i="1"/>
  <c r="Q293" i="1" s="1"/>
  <c r="R293" i="1" s="1"/>
  <c r="J294" i="1"/>
  <c r="Q294" i="1" s="1"/>
  <c r="R294" i="1" s="1"/>
  <c r="J295" i="1"/>
  <c r="Q295" i="1" s="1"/>
  <c r="R295" i="1" s="1"/>
  <c r="J296" i="1"/>
  <c r="Q296" i="1" s="1"/>
  <c r="R296" i="1" s="1"/>
  <c r="J298" i="1"/>
  <c r="Q298" i="1" s="1"/>
  <c r="R298" i="1" s="1"/>
  <c r="J299" i="1"/>
  <c r="Q299" i="1" s="1"/>
  <c r="R299" i="1" s="1"/>
  <c r="J300" i="1"/>
  <c r="Q300" i="1" s="1"/>
  <c r="R300" i="1" s="1"/>
  <c r="J301" i="1"/>
  <c r="Q301" i="1" s="1"/>
  <c r="R301" i="1" s="1"/>
  <c r="J302" i="1"/>
  <c r="Q302" i="1" s="1"/>
  <c r="R302" i="1" s="1"/>
  <c r="J303" i="1"/>
  <c r="Q303" i="1" s="1"/>
  <c r="R303" i="1" s="1"/>
  <c r="J304" i="1"/>
  <c r="Q304" i="1" s="1"/>
  <c r="R304" i="1" s="1"/>
  <c r="J305" i="1"/>
  <c r="Q305" i="1" s="1"/>
  <c r="R305" i="1" s="1"/>
  <c r="J306" i="1"/>
  <c r="Q306" i="1" s="1"/>
  <c r="R306" i="1" s="1"/>
  <c r="J307" i="1"/>
  <c r="Q307" i="1" s="1"/>
  <c r="R307" i="1" s="1"/>
  <c r="J308" i="1"/>
  <c r="Q308" i="1" s="1"/>
  <c r="R308" i="1" s="1"/>
  <c r="J309" i="1"/>
  <c r="Q309" i="1" s="1"/>
  <c r="R309" i="1" s="1"/>
  <c r="J310" i="1"/>
  <c r="Q310" i="1" s="1"/>
  <c r="R310" i="1" s="1"/>
  <c r="J311" i="1"/>
  <c r="Q311" i="1" s="1"/>
  <c r="R311" i="1" s="1"/>
  <c r="J312" i="1"/>
  <c r="Q312" i="1" s="1"/>
  <c r="R312" i="1" s="1"/>
  <c r="J313" i="1"/>
  <c r="Q313" i="1" s="1"/>
  <c r="R313" i="1" s="1"/>
  <c r="J314" i="1"/>
  <c r="Q314" i="1" s="1"/>
  <c r="R314" i="1" s="1"/>
  <c r="J315" i="1"/>
  <c r="Q315" i="1" s="1"/>
  <c r="R315" i="1" s="1"/>
  <c r="J316" i="1"/>
  <c r="Q316" i="1" s="1"/>
  <c r="R316" i="1" s="1"/>
  <c r="J317" i="1"/>
  <c r="Q317" i="1" s="1"/>
  <c r="R317" i="1" s="1"/>
  <c r="J318" i="1"/>
  <c r="Q318" i="1" s="1"/>
  <c r="R318" i="1" s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Q365" i="1" s="1"/>
  <c r="R365" i="1" s="1"/>
  <c r="J366" i="1"/>
  <c r="Q366" i="1" s="1"/>
  <c r="R366" i="1" s="1"/>
  <c r="J196" i="1"/>
  <c r="Q196" i="1" s="1"/>
  <c r="W156" i="1"/>
  <c r="J193" i="1"/>
  <c r="Q193" i="1" s="1"/>
  <c r="R193" i="1" s="1"/>
  <c r="I193" i="1"/>
  <c r="H190" i="1"/>
  <c r="I190" i="1" s="1"/>
  <c r="M194" i="1"/>
  <c r="I325" i="1"/>
  <c r="I326" i="1"/>
  <c r="I327" i="1"/>
  <c r="I328" i="1"/>
  <c r="I329" i="1"/>
  <c r="I330" i="1"/>
  <c r="I331" i="1"/>
  <c r="I332" i="1"/>
  <c r="I333" i="1"/>
  <c r="I334" i="1"/>
  <c r="I335" i="1"/>
  <c r="I336" i="1"/>
  <c r="I337" i="1"/>
  <c r="I338" i="1"/>
  <c r="I339" i="1"/>
  <c r="I340" i="1"/>
  <c r="I341" i="1"/>
  <c r="I342" i="1"/>
  <c r="I343" i="1"/>
  <c r="I344" i="1"/>
  <c r="I345" i="1"/>
  <c r="I346" i="1"/>
  <c r="I347" i="1"/>
  <c r="I348" i="1"/>
  <c r="I349" i="1"/>
  <c r="I350" i="1"/>
  <c r="I351" i="1"/>
  <c r="I352" i="1"/>
  <c r="I353" i="1"/>
  <c r="I354" i="1"/>
  <c r="I355" i="1"/>
  <c r="I356" i="1"/>
  <c r="I357" i="1"/>
  <c r="I358" i="1"/>
  <c r="I359" i="1"/>
  <c r="I360" i="1"/>
  <c r="I361" i="1"/>
  <c r="I362" i="1"/>
  <c r="I363" i="1"/>
  <c r="I364" i="1"/>
  <c r="I365" i="1"/>
  <c r="I366" i="1"/>
  <c r="I194" i="1"/>
  <c r="I197" i="1"/>
  <c r="I199" i="1"/>
  <c r="I200" i="1"/>
  <c r="I201" i="1"/>
  <c r="I202" i="1"/>
  <c r="I204" i="1"/>
  <c r="I205" i="1"/>
  <c r="I206" i="1"/>
  <c r="I207" i="1"/>
  <c r="I208" i="1"/>
  <c r="I209" i="1"/>
  <c r="I210" i="1"/>
  <c r="I211" i="1"/>
  <c r="I212" i="1"/>
  <c r="I213" i="1"/>
  <c r="I214" i="1"/>
  <c r="I215" i="1"/>
  <c r="I216" i="1"/>
  <c r="I222" i="1"/>
  <c r="I223" i="1"/>
  <c r="I224" i="1"/>
  <c r="I225" i="1"/>
  <c r="I226" i="1"/>
  <c r="I228" i="1"/>
  <c r="I229" i="1"/>
  <c r="I232" i="1"/>
  <c r="I234" i="1"/>
  <c r="I235" i="1"/>
  <c r="I237" i="1"/>
  <c r="I238" i="1"/>
  <c r="I239" i="1"/>
  <c r="I242" i="1"/>
  <c r="I251" i="1"/>
  <c r="I252" i="1"/>
  <c r="I253" i="1"/>
  <c r="I254" i="1"/>
  <c r="I256" i="1"/>
  <c r="I257" i="1"/>
  <c r="I258" i="1"/>
  <c r="I259" i="1"/>
  <c r="I260" i="1"/>
  <c r="I261" i="1"/>
  <c r="I262" i="1"/>
  <c r="I263" i="1"/>
  <c r="I265" i="1"/>
  <c r="I269" i="1"/>
  <c r="I270" i="1"/>
  <c r="I277" i="1"/>
  <c r="I284" i="1"/>
  <c r="I285" i="1"/>
  <c r="I290" i="1"/>
  <c r="I291" i="1"/>
  <c r="I293" i="1"/>
  <c r="K293" i="1" s="1"/>
  <c r="I294" i="1"/>
  <c r="K294" i="1" s="1"/>
  <c r="I295" i="1"/>
  <c r="K295" i="1" s="1"/>
  <c r="I296" i="1"/>
  <c r="K296" i="1" s="1"/>
  <c r="I298" i="1"/>
  <c r="K298" i="1" s="1"/>
  <c r="I299" i="1"/>
  <c r="K299" i="1" s="1"/>
  <c r="I300" i="1"/>
  <c r="K300" i="1" s="1"/>
  <c r="I301" i="1"/>
  <c r="I302" i="1"/>
  <c r="K302" i="1" s="1"/>
  <c r="I303" i="1"/>
  <c r="K303" i="1" s="1"/>
  <c r="I304" i="1"/>
  <c r="K304" i="1" s="1"/>
  <c r="I305" i="1"/>
  <c r="K305" i="1" s="1"/>
  <c r="I306" i="1"/>
  <c r="K306" i="1" s="1"/>
  <c r="I307" i="1"/>
  <c r="K307" i="1" s="1"/>
  <c r="I308" i="1"/>
  <c r="K308" i="1" s="1"/>
  <c r="I309" i="1"/>
  <c r="I310" i="1"/>
  <c r="K310" i="1" s="1"/>
  <c r="I311" i="1"/>
  <c r="K311" i="1" s="1"/>
  <c r="I312" i="1"/>
  <c r="K312" i="1" s="1"/>
  <c r="I313" i="1"/>
  <c r="K313" i="1" s="1"/>
  <c r="I314" i="1"/>
  <c r="K314" i="1" s="1"/>
  <c r="I315" i="1"/>
  <c r="K315" i="1" s="1"/>
  <c r="I316" i="1"/>
  <c r="K316" i="1" s="1"/>
  <c r="I317" i="1"/>
  <c r="I318" i="1"/>
  <c r="K318" i="1" s="1"/>
  <c r="I319" i="1"/>
  <c r="I320" i="1"/>
  <c r="I321" i="1"/>
  <c r="I322" i="1"/>
  <c r="I323" i="1"/>
  <c r="I324" i="1"/>
  <c r="H183" i="1"/>
  <c r="J183" i="1" s="1"/>
  <c r="Q183" i="1" s="1"/>
  <c r="R183" i="1" s="1"/>
  <c r="J182" i="1"/>
  <c r="Q182" i="1" s="1"/>
  <c r="R182" i="1" s="1"/>
  <c r="I182" i="1"/>
  <c r="J181" i="1"/>
  <c r="Q181" i="1" s="1"/>
  <c r="R181" i="1" s="1"/>
  <c r="I181" i="1"/>
  <c r="J164" i="1"/>
  <c r="Q164" i="1" s="1"/>
  <c r="R164" i="1" s="1"/>
  <c r="I164" i="1"/>
  <c r="J163" i="1"/>
  <c r="Q163" i="1" s="1"/>
  <c r="R163" i="1" s="1"/>
  <c r="I163" i="1"/>
  <c r="H188" i="1"/>
  <c r="J178" i="1"/>
  <c r="Q178" i="1" s="1"/>
  <c r="R178" i="1" s="1"/>
  <c r="J180" i="1"/>
  <c r="J177" i="1"/>
  <c r="K177" i="1" s="1"/>
  <c r="H175" i="1"/>
  <c r="J175" i="1" s="1"/>
  <c r="H174" i="1"/>
  <c r="J174" i="1" s="1"/>
  <c r="Q174" i="1" s="1"/>
  <c r="R174" i="1" s="1"/>
  <c r="V166" i="1"/>
  <c r="J171" i="1"/>
  <c r="H168" i="1"/>
  <c r="I168" i="1" s="1"/>
  <c r="H167" i="1"/>
  <c r="J167" i="1" s="1"/>
  <c r="T162" i="1"/>
  <c r="J162" i="1"/>
  <c r="Q162" i="1" s="1"/>
  <c r="W159" i="1"/>
  <c r="J160" i="1"/>
  <c r="I160" i="1"/>
  <c r="J159" i="1"/>
  <c r="Q159" i="1" s="1"/>
  <c r="R159" i="1" s="1"/>
  <c r="I159" i="1"/>
  <c r="V144" i="1"/>
  <c r="I148" i="1"/>
  <c r="J144" i="1"/>
  <c r="Q144" i="1" s="1"/>
  <c r="R144" i="1" s="1"/>
  <c r="I144" i="1"/>
  <c r="H146" i="1"/>
  <c r="I146" i="1" s="1"/>
  <c r="J143" i="1"/>
  <c r="Q143" i="1" s="1"/>
  <c r="R143" i="1" s="1"/>
  <c r="I143" i="1"/>
  <c r="H139" i="1"/>
  <c r="I139" i="1" s="1"/>
  <c r="H138" i="1"/>
  <c r="J138" i="1" s="1"/>
  <c r="I137" i="1"/>
  <c r="I140" i="1"/>
  <c r="I141" i="1"/>
  <c r="I142" i="1"/>
  <c r="I145" i="1"/>
  <c r="I147" i="1"/>
  <c r="I149" i="1"/>
  <c r="I150" i="1"/>
  <c r="I151" i="1"/>
  <c r="I152" i="1"/>
  <c r="I153" i="1"/>
  <c r="I154" i="1"/>
  <c r="I155" i="1"/>
  <c r="I156" i="1"/>
  <c r="I157" i="1"/>
  <c r="I158" i="1"/>
  <c r="I161" i="1"/>
  <c r="I162" i="1"/>
  <c r="I165" i="1"/>
  <c r="I166" i="1"/>
  <c r="I169" i="1"/>
  <c r="I171" i="1"/>
  <c r="K171" i="1" s="1"/>
  <c r="I172" i="1"/>
  <c r="I174" i="1"/>
  <c r="I186" i="1"/>
  <c r="I188" i="1"/>
  <c r="I191" i="1"/>
  <c r="I192" i="1"/>
  <c r="I136" i="1"/>
  <c r="I134" i="1"/>
  <c r="I132" i="1"/>
  <c r="I131" i="1"/>
  <c r="H129" i="1"/>
  <c r="I129" i="1" s="1"/>
  <c r="J127" i="1"/>
  <c r="Q127" i="1" s="1"/>
  <c r="R127" i="1" s="1"/>
  <c r="I127" i="1"/>
  <c r="J120" i="1"/>
  <c r="Q120" i="1" s="1"/>
  <c r="I120" i="1"/>
  <c r="T112" i="1"/>
  <c r="H114" i="1"/>
  <c r="I114" i="1" s="1"/>
  <c r="H116" i="1"/>
  <c r="J116" i="1" s="1"/>
  <c r="H115" i="1"/>
  <c r="I115" i="1" s="1"/>
  <c r="H113" i="1"/>
  <c r="I113" i="1" s="1"/>
  <c r="H112" i="1"/>
  <c r="I112" i="1" s="1"/>
  <c r="I116" i="1"/>
  <c r="I117" i="1"/>
  <c r="I118" i="1"/>
  <c r="I119" i="1"/>
  <c r="I121" i="1"/>
  <c r="I122" i="1"/>
  <c r="I123" i="1"/>
  <c r="I124" i="1"/>
  <c r="I125" i="1"/>
  <c r="I126" i="1"/>
  <c r="I128" i="1"/>
  <c r="I110" i="1"/>
  <c r="J110" i="1"/>
  <c r="I109" i="1"/>
  <c r="J109" i="1"/>
  <c r="I105" i="1"/>
  <c r="J105" i="1"/>
  <c r="M91" i="1"/>
  <c r="V83" i="1"/>
  <c r="I94" i="1"/>
  <c r="I95" i="1"/>
  <c r="I96" i="1"/>
  <c r="I97" i="1"/>
  <c r="I98" i="1"/>
  <c r="I99" i="1"/>
  <c r="I100" i="1"/>
  <c r="I101" i="1"/>
  <c r="I102" i="1"/>
  <c r="I103" i="1"/>
  <c r="I104" i="1"/>
  <c r="I106" i="1"/>
  <c r="I107" i="1"/>
  <c r="I108" i="1"/>
  <c r="J91" i="1"/>
  <c r="J92" i="1"/>
  <c r="Q92" i="1" s="1"/>
  <c r="R92" i="1" s="1"/>
  <c r="J93" i="1"/>
  <c r="Q93" i="1" s="1"/>
  <c r="R93" i="1" s="1"/>
  <c r="J94" i="1"/>
  <c r="Q94" i="1" s="1"/>
  <c r="R94" i="1" s="1"/>
  <c r="J95" i="1"/>
  <c r="Q95" i="1" s="1"/>
  <c r="R95" i="1" s="1"/>
  <c r="J96" i="1"/>
  <c r="Q96" i="1" s="1"/>
  <c r="R96" i="1" s="1"/>
  <c r="J97" i="1"/>
  <c r="Q97" i="1" s="1"/>
  <c r="R97" i="1" s="1"/>
  <c r="J98" i="1"/>
  <c r="Q98" i="1" s="1"/>
  <c r="R98" i="1" s="1"/>
  <c r="J99" i="1"/>
  <c r="J100" i="1"/>
  <c r="Q100" i="1" s="1"/>
  <c r="R100" i="1" s="1"/>
  <c r="J101" i="1"/>
  <c r="Q101" i="1" s="1"/>
  <c r="R101" i="1" s="1"/>
  <c r="J102" i="1"/>
  <c r="J103" i="1"/>
  <c r="Q103" i="1" s="1"/>
  <c r="R103" i="1" s="1"/>
  <c r="J104" i="1"/>
  <c r="J106" i="1"/>
  <c r="Q106" i="1" s="1"/>
  <c r="R106" i="1" s="1"/>
  <c r="J107" i="1"/>
  <c r="J108" i="1"/>
  <c r="Q108" i="1" s="1"/>
  <c r="R108" i="1" s="1"/>
  <c r="Q111" i="1"/>
  <c r="R111" i="1" s="1"/>
  <c r="J112" i="1"/>
  <c r="J113" i="1"/>
  <c r="Q113" i="1" s="1"/>
  <c r="R113" i="1" s="1"/>
  <c r="J114" i="1"/>
  <c r="J117" i="1"/>
  <c r="Q117" i="1" s="1"/>
  <c r="R117" i="1" s="1"/>
  <c r="J118" i="1"/>
  <c r="J119" i="1"/>
  <c r="J121" i="1"/>
  <c r="J122" i="1"/>
  <c r="Q122" i="1" s="1"/>
  <c r="R122" i="1" s="1"/>
  <c r="J123" i="1"/>
  <c r="J124" i="1"/>
  <c r="Q124" i="1" s="1"/>
  <c r="R124" i="1" s="1"/>
  <c r="J125" i="1"/>
  <c r="J126" i="1"/>
  <c r="Q126" i="1" s="1"/>
  <c r="W126" i="1" s="1"/>
  <c r="J128" i="1"/>
  <c r="J129" i="1"/>
  <c r="Q129" i="1" s="1"/>
  <c r="R129" i="1" s="1"/>
  <c r="J130" i="1"/>
  <c r="K130" i="1" s="1"/>
  <c r="J131" i="1"/>
  <c r="J132" i="1"/>
  <c r="J133" i="1"/>
  <c r="Q133" i="1" s="1"/>
  <c r="R133" i="1" s="1"/>
  <c r="J134" i="1"/>
  <c r="J135" i="1"/>
  <c r="Q135" i="1" s="1"/>
  <c r="R135" i="1" s="1"/>
  <c r="J136" i="1"/>
  <c r="J137" i="1"/>
  <c r="Q137" i="1" s="1"/>
  <c r="R137" i="1" s="1"/>
  <c r="J139" i="1"/>
  <c r="Q139" i="1" s="1"/>
  <c r="R139" i="1" s="1"/>
  <c r="J140" i="1"/>
  <c r="J141" i="1"/>
  <c r="Q141" i="1" s="1"/>
  <c r="R141" i="1" s="1"/>
  <c r="J142" i="1"/>
  <c r="Q142" i="1" s="1"/>
  <c r="R142" i="1" s="1"/>
  <c r="J145" i="1"/>
  <c r="Q145" i="1" s="1"/>
  <c r="R145" i="1" s="1"/>
  <c r="J147" i="1"/>
  <c r="Q147" i="1" s="1"/>
  <c r="R147" i="1" s="1"/>
  <c r="J148" i="1"/>
  <c r="K148" i="1" s="1"/>
  <c r="J149" i="1"/>
  <c r="J150" i="1"/>
  <c r="Q150" i="1" s="1"/>
  <c r="R150" i="1" s="1"/>
  <c r="J151" i="1"/>
  <c r="K151" i="1" s="1"/>
  <c r="J152" i="1"/>
  <c r="Q152" i="1" s="1"/>
  <c r="R152" i="1" s="1"/>
  <c r="J153" i="1"/>
  <c r="K153" i="1" s="1"/>
  <c r="J154" i="1"/>
  <c r="Q154" i="1" s="1"/>
  <c r="R154" i="1" s="1"/>
  <c r="J155" i="1"/>
  <c r="K155" i="1" s="1"/>
  <c r="J156" i="1"/>
  <c r="Q156" i="1" s="1"/>
  <c r="R156" i="1" s="1"/>
  <c r="J157" i="1"/>
  <c r="J158" i="1"/>
  <c r="Q158" i="1" s="1"/>
  <c r="R158" i="1" s="1"/>
  <c r="J161" i="1"/>
  <c r="K161" i="1" s="1"/>
  <c r="J165" i="1"/>
  <c r="J166" i="1"/>
  <c r="Q166" i="1" s="1"/>
  <c r="R166" i="1" s="1"/>
  <c r="J169" i="1"/>
  <c r="Q170" i="1"/>
  <c r="R170" i="1" s="1"/>
  <c r="J172" i="1"/>
  <c r="Q172" i="1" s="1"/>
  <c r="R172" i="1" s="1"/>
  <c r="Q176" i="1"/>
  <c r="R176" i="1" s="1"/>
  <c r="Q180" i="1"/>
  <c r="R180" i="1" s="1"/>
  <c r="Q185" i="1"/>
  <c r="R185" i="1" s="1"/>
  <c r="J186" i="1"/>
  <c r="Q187" i="1"/>
  <c r="R187" i="1" s="1"/>
  <c r="J188" i="1"/>
  <c r="Q189" i="1"/>
  <c r="R189" i="1" s="1"/>
  <c r="J190" i="1"/>
  <c r="J191" i="1"/>
  <c r="Q191" i="1" s="1"/>
  <c r="R191" i="1" s="1"/>
  <c r="J192" i="1"/>
  <c r="J194" i="1"/>
  <c r="Q194" i="1" s="1"/>
  <c r="R194" i="1" s="1"/>
  <c r="K196" i="1"/>
  <c r="I91" i="1"/>
  <c r="I92" i="1"/>
  <c r="I93" i="1"/>
  <c r="I89" i="1"/>
  <c r="J89" i="1"/>
  <c r="I88" i="1"/>
  <c r="J88" i="1"/>
  <c r="I87" i="1"/>
  <c r="J87" i="1"/>
  <c r="Q87" i="1" s="1"/>
  <c r="R87" i="1" s="1"/>
  <c r="I86" i="1"/>
  <c r="J86" i="1"/>
  <c r="H77" i="1"/>
  <c r="J77" i="1" s="1"/>
  <c r="Q77" i="1" s="1"/>
  <c r="R77" i="1" s="1"/>
  <c r="H76" i="1"/>
  <c r="I76" i="1" s="1"/>
  <c r="H75" i="1"/>
  <c r="J75" i="1" s="1"/>
  <c r="Q75" i="1" s="1"/>
  <c r="R75" i="1" s="1"/>
  <c r="H74" i="1"/>
  <c r="J74" i="1" s="1"/>
  <c r="Q74" i="1" s="1"/>
  <c r="R74" i="1" s="1"/>
  <c r="N2" i="1"/>
  <c r="N4" i="1"/>
  <c r="N11" i="1"/>
  <c r="N12" i="1"/>
  <c r="J71" i="1"/>
  <c r="J72" i="1"/>
  <c r="J78" i="1"/>
  <c r="Q78" i="1" s="1"/>
  <c r="R78" i="1" s="1"/>
  <c r="J79" i="1"/>
  <c r="Q79" i="1" s="1"/>
  <c r="R79" i="1" s="1"/>
  <c r="J80" i="1"/>
  <c r="Q80" i="1" s="1"/>
  <c r="R80" i="1" s="1"/>
  <c r="J81" i="1"/>
  <c r="Q81" i="1" s="1"/>
  <c r="R81" i="1" s="1"/>
  <c r="J82" i="1"/>
  <c r="Q82" i="1" s="1"/>
  <c r="R82" i="1" s="1"/>
  <c r="J83" i="1"/>
  <c r="Q83" i="1" s="1"/>
  <c r="R83" i="1" s="1"/>
  <c r="J84" i="1"/>
  <c r="Q84" i="1" s="1"/>
  <c r="R84" i="1" s="1"/>
  <c r="J85" i="1"/>
  <c r="Q85" i="1" s="1"/>
  <c r="R85" i="1" s="1"/>
  <c r="J70" i="1"/>
  <c r="I71" i="1"/>
  <c r="I72" i="1"/>
  <c r="I75" i="1"/>
  <c r="I77" i="1"/>
  <c r="I78" i="1"/>
  <c r="I80" i="1"/>
  <c r="I81" i="1"/>
  <c r="I82" i="1"/>
  <c r="I83" i="1"/>
  <c r="I84" i="1"/>
  <c r="I85" i="1"/>
  <c r="I70" i="1"/>
  <c r="W64" i="1"/>
  <c r="W68" i="1"/>
  <c r="R68" i="1"/>
  <c r="K68" i="1"/>
  <c r="W66" i="1"/>
  <c r="R66" i="1"/>
  <c r="K66" i="1"/>
  <c r="R64" i="1"/>
  <c r="J64" i="1"/>
  <c r="K64" i="1" s="1"/>
  <c r="J58" i="1"/>
  <c r="Q58" i="1" s="1"/>
  <c r="R58" i="1" s="1"/>
  <c r="J59" i="1"/>
  <c r="J60" i="1"/>
  <c r="J61" i="1"/>
  <c r="J62" i="1"/>
  <c r="J63" i="1"/>
  <c r="I58" i="1"/>
  <c r="P58" i="1" s="1"/>
  <c r="I59" i="1"/>
  <c r="P59" i="1" s="1"/>
  <c r="I60" i="1"/>
  <c r="I61" i="1"/>
  <c r="P61" i="1" s="1"/>
  <c r="I62" i="1"/>
  <c r="P62" i="1" s="1"/>
  <c r="I63" i="1"/>
  <c r="J57" i="1"/>
  <c r="Q57" i="1" s="1"/>
  <c r="R57" i="1" s="1"/>
  <c r="I57" i="1"/>
  <c r="I55" i="1"/>
  <c r="P55" i="1" s="1"/>
  <c r="P54" i="1"/>
  <c r="P56" i="1"/>
  <c r="P57" i="1"/>
  <c r="K56" i="1"/>
  <c r="J47" i="1"/>
  <c r="J48" i="1"/>
  <c r="J49" i="1"/>
  <c r="J50" i="1"/>
  <c r="J51" i="1"/>
  <c r="J52" i="1"/>
  <c r="J53" i="1"/>
  <c r="J54" i="1"/>
  <c r="K54" i="1" s="1"/>
  <c r="J55" i="1"/>
  <c r="J46" i="1"/>
  <c r="Q46" i="1" s="1"/>
  <c r="R46" i="1" s="1"/>
  <c r="I46" i="1"/>
  <c r="P46" i="1" s="1"/>
  <c r="I47" i="1"/>
  <c r="P47" i="1" s="1"/>
  <c r="I48" i="1"/>
  <c r="P48" i="1" s="1"/>
  <c r="I49" i="1"/>
  <c r="P49" i="1" s="1"/>
  <c r="I50" i="1"/>
  <c r="P50" i="1" s="1"/>
  <c r="I51" i="1"/>
  <c r="P51" i="1" s="1"/>
  <c r="I52" i="1"/>
  <c r="P52" i="1" s="1"/>
  <c r="P53" i="1"/>
  <c r="J45" i="1"/>
  <c r="K45" i="1" s="1"/>
  <c r="J40" i="1"/>
  <c r="K40" i="1" s="1"/>
  <c r="J41" i="1"/>
  <c r="K41" i="1" s="1"/>
  <c r="J42" i="1"/>
  <c r="Q42" i="1" s="1"/>
  <c r="R42" i="1" s="1"/>
  <c r="H38" i="1"/>
  <c r="I38" i="1" s="1"/>
  <c r="H37" i="1"/>
  <c r="I37" i="1" s="1"/>
  <c r="P37" i="1" s="1"/>
  <c r="I36" i="1"/>
  <c r="P36" i="1" s="1"/>
  <c r="J36" i="1"/>
  <c r="I35" i="1"/>
  <c r="P35" i="1" s="1"/>
  <c r="J35" i="1"/>
  <c r="O35" i="1" s="1"/>
  <c r="I34" i="1"/>
  <c r="P34" i="1" s="1"/>
  <c r="J34" i="1"/>
  <c r="O34" i="1" s="1"/>
  <c r="Q34" i="1" s="1"/>
  <c r="R34" i="1" s="1"/>
  <c r="L9" i="1"/>
  <c r="L8" i="1"/>
  <c r="L7" i="1"/>
  <c r="L6" i="1"/>
  <c r="L5" i="1"/>
  <c r="L4" i="1"/>
  <c r="J26" i="1"/>
  <c r="Q26" i="1" s="1"/>
  <c r="R26" i="1" s="1"/>
  <c r="J27" i="1"/>
  <c r="Q27" i="1" s="1"/>
  <c r="R27" i="1" s="1"/>
  <c r="J28" i="1"/>
  <c r="J29" i="1"/>
  <c r="Q29" i="1" s="1"/>
  <c r="R29" i="1" s="1"/>
  <c r="J31" i="1"/>
  <c r="Q31" i="1" s="1"/>
  <c r="R31" i="1" s="1"/>
  <c r="J32" i="1"/>
  <c r="Q32" i="1" s="1"/>
  <c r="R32" i="1" s="1"/>
  <c r="J33" i="1"/>
  <c r="O33" i="1" s="1"/>
  <c r="Q33" i="1" s="1"/>
  <c r="I26" i="1"/>
  <c r="P26" i="1" s="1"/>
  <c r="I27" i="1"/>
  <c r="P27" i="1" s="1"/>
  <c r="I28" i="1"/>
  <c r="I29" i="1"/>
  <c r="P29" i="1" s="1"/>
  <c r="I31" i="1"/>
  <c r="P31" i="1" s="1"/>
  <c r="I32" i="1"/>
  <c r="P32" i="1" s="1"/>
  <c r="I33" i="1"/>
  <c r="P33" i="1" s="1"/>
  <c r="H23" i="1"/>
  <c r="I23" i="1" s="1"/>
  <c r="P23" i="1" s="1"/>
  <c r="I24" i="1"/>
  <c r="P24" i="1" s="1"/>
  <c r="J24" i="1"/>
  <c r="Q24" i="1" s="1"/>
  <c r="R24" i="1" s="1"/>
  <c r="H21" i="1"/>
  <c r="J21" i="1" s="1"/>
  <c r="P25" i="1"/>
  <c r="J22" i="1"/>
  <c r="I22" i="1"/>
  <c r="P22" i="1" s="1"/>
  <c r="J20" i="1"/>
  <c r="Q20" i="1" s="1"/>
  <c r="I20" i="1"/>
  <c r="P20" i="1" s="1"/>
  <c r="K2" i="1"/>
  <c r="J5" i="1"/>
  <c r="J6" i="1"/>
  <c r="J7" i="1"/>
  <c r="J8" i="1"/>
  <c r="J9" i="1"/>
  <c r="J11" i="1"/>
  <c r="Q11" i="1" s="1"/>
  <c r="R11" i="1" s="1"/>
  <c r="J12" i="1"/>
  <c r="J14" i="1"/>
  <c r="Q14" i="1" s="1"/>
  <c r="R14" i="1" s="1"/>
  <c r="J16" i="1"/>
  <c r="Q16" i="1" s="1"/>
  <c r="R16" i="1" s="1"/>
  <c r="J18" i="1"/>
  <c r="K18" i="1" s="1"/>
  <c r="J4" i="1"/>
  <c r="Q4" i="1" s="1"/>
  <c r="R4" i="1" s="1"/>
  <c r="I9" i="1"/>
  <c r="I11" i="1"/>
  <c r="P11" i="1" s="1"/>
  <c r="I12" i="1"/>
  <c r="P12" i="1" s="1"/>
  <c r="I16" i="1"/>
  <c r="I5" i="1"/>
  <c r="I6" i="1"/>
  <c r="I7" i="1"/>
  <c r="I8" i="1"/>
  <c r="I4" i="1"/>
  <c r="Q5" i="1"/>
  <c r="R5" i="1" s="1"/>
  <c r="Q6" i="1"/>
  <c r="R6" i="1" s="1"/>
  <c r="Q7" i="1"/>
  <c r="R7" i="1" s="1"/>
  <c r="Q8" i="1"/>
  <c r="R8" i="1" s="1"/>
  <c r="Q9" i="1"/>
  <c r="R9" i="1" s="1"/>
  <c r="Q12" i="1"/>
  <c r="R12" i="1" s="1"/>
  <c r="Q13" i="1"/>
  <c r="R13" i="1" s="1"/>
  <c r="Q15" i="1"/>
  <c r="R15" i="1" s="1"/>
  <c r="Q17" i="1"/>
  <c r="R17" i="1" s="1"/>
  <c r="Q19" i="1"/>
  <c r="R19" i="1" s="1"/>
  <c r="Q22" i="1"/>
  <c r="R22" i="1" s="1"/>
  <c r="Q25" i="1"/>
  <c r="R25" i="1" s="1"/>
  <c r="R30" i="1"/>
  <c r="Q39" i="1"/>
  <c r="R39" i="1" s="1"/>
  <c r="Q43" i="1"/>
  <c r="R43" i="1" s="1"/>
  <c r="Q44" i="1"/>
  <c r="R44" i="1" s="1"/>
  <c r="Q47" i="1"/>
  <c r="R47" i="1" s="1"/>
  <c r="Q49" i="1"/>
  <c r="R49" i="1" s="1"/>
  <c r="Q51" i="1"/>
  <c r="R51" i="1" s="1"/>
  <c r="Q53" i="1"/>
  <c r="R53" i="1" s="1"/>
  <c r="Q55" i="1"/>
  <c r="R55" i="1" s="1"/>
  <c r="Q56" i="1"/>
  <c r="R56" i="1" s="1"/>
  <c r="Q2" i="1"/>
  <c r="R2" i="1" s="1"/>
  <c r="P2" i="1"/>
  <c r="J76" i="1" l="1"/>
  <c r="Q76" i="1" s="1"/>
  <c r="R76" i="1" s="1"/>
  <c r="K99" i="1"/>
  <c r="P4" i="1"/>
  <c r="I21" i="1"/>
  <c r="P21" i="1" s="1"/>
  <c r="K157" i="1"/>
  <c r="K149" i="1"/>
  <c r="I167" i="1"/>
  <c r="K317" i="1"/>
  <c r="K309" i="1"/>
  <c r="K301" i="1"/>
  <c r="K58" i="1"/>
  <c r="I74" i="1"/>
  <c r="K92" i="1"/>
  <c r="K134" i="1"/>
  <c r="I138" i="1"/>
  <c r="K167" i="1"/>
  <c r="K114" i="1"/>
  <c r="K165" i="1"/>
  <c r="J146" i="1"/>
  <c r="Q146" i="1" s="1"/>
  <c r="K136" i="1"/>
  <c r="K132" i="1"/>
  <c r="K128" i="1"/>
  <c r="K125" i="1"/>
  <c r="K123" i="1"/>
  <c r="K121" i="1"/>
  <c r="K118" i="1"/>
  <c r="J115" i="1"/>
  <c r="Q115" i="1" s="1"/>
  <c r="R115" i="1" s="1"/>
  <c r="K112" i="1"/>
  <c r="R291" i="1"/>
  <c r="W291" i="1"/>
  <c r="K276" i="1"/>
  <c r="Q276" i="1"/>
  <c r="R276" i="1" s="1"/>
  <c r="Q363" i="1"/>
  <c r="R363" i="1" s="1"/>
  <c r="K363" i="1"/>
  <c r="Q361" i="1"/>
  <c r="R361" i="1" s="1"/>
  <c r="K361" i="1"/>
  <c r="Q359" i="1"/>
  <c r="R359" i="1" s="1"/>
  <c r="K359" i="1"/>
  <c r="Q357" i="1"/>
  <c r="R357" i="1" s="1"/>
  <c r="K357" i="1"/>
  <c r="Q355" i="1"/>
  <c r="R355" i="1" s="1"/>
  <c r="K355" i="1"/>
  <c r="Q353" i="1"/>
  <c r="R353" i="1" s="1"/>
  <c r="K353" i="1"/>
  <c r="Q351" i="1"/>
  <c r="R351" i="1" s="1"/>
  <c r="K351" i="1"/>
  <c r="Q349" i="1"/>
  <c r="R349" i="1" s="1"/>
  <c r="K349" i="1"/>
  <c r="Q347" i="1"/>
  <c r="R347" i="1" s="1"/>
  <c r="K347" i="1"/>
  <c r="Q345" i="1"/>
  <c r="R345" i="1" s="1"/>
  <c r="K345" i="1"/>
  <c r="Q343" i="1"/>
  <c r="R343" i="1" s="1"/>
  <c r="K343" i="1"/>
  <c r="Q341" i="1"/>
  <c r="R341" i="1" s="1"/>
  <c r="K341" i="1"/>
  <c r="Q339" i="1"/>
  <c r="R339" i="1" s="1"/>
  <c r="K339" i="1"/>
  <c r="Q337" i="1"/>
  <c r="R337" i="1" s="1"/>
  <c r="K337" i="1"/>
  <c r="Q335" i="1"/>
  <c r="R335" i="1" s="1"/>
  <c r="K335" i="1"/>
  <c r="Q333" i="1"/>
  <c r="R333" i="1" s="1"/>
  <c r="K333" i="1"/>
  <c r="Q331" i="1"/>
  <c r="R331" i="1" s="1"/>
  <c r="K331" i="1"/>
  <c r="Q329" i="1"/>
  <c r="R329" i="1" s="1"/>
  <c r="K329" i="1"/>
  <c r="Q327" i="1"/>
  <c r="R327" i="1" s="1"/>
  <c r="K327" i="1"/>
  <c r="Q325" i="1"/>
  <c r="R325" i="1" s="1"/>
  <c r="K325" i="1"/>
  <c r="Q323" i="1"/>
  <c r="R323" i="1" s="1"/>
  <c r="K323" i="1"/>
  <c r="Q321" i="1"/>
  <c r="R321" i="1" s="1"/>
  <c r="K321" i="1"/>
  <c r="Q319" i="1"/>
  <c r="R319" i="1" s="1"/>
  <c r="K319" i="1"/>
  <c r="I183" i="1"/>
  <c r="K183" i="1" s="1"/>
  <c r="Q364" i="1"/>
  <c r="R364" i="1" s="1"/>
  <c r="K364" i="1"/>
  <c r="Q362" i="1"/>
  <c r="R362" i="1" s="1"/>
  <c r="K362" i="1"/>
  <c r="Q360" i="1"/>
  <c r="R360" i="1" s="1"/>
  <c r="K360" i="1"/>
  <c r="Q358" i="1"/>
  <c r="R358" i="1" s="1"/>
  <c r="K358" i="1"/>
  <c r="Q356" i="1"/>
  <c r="R356" i="1" s="1"/>
  <c r="K356" i="1"/>
  <c r="Q354" i="1"/>
  <c r="R354" i="1" s="1"/>
  <c r="K354" i="1"/>
  <c r="Q352" i="1"/>
  <c r="R352" i="1" s="1"/>
  <c r="K352" i="1"/>
  <c r="Q350" i="1"/>
  <c r="R350" i="1" s="1"/>
  <c r="K350" i="1"/>
  <c r="Q348" i="1"/>
  <c r="R348" i="1" s="1"/>
  <c r="K348" i="1"/>
  <c r="Q346" i="1"/>
  <c r="R346" i="1" s="1"/>
  <c r="K346" i="1"/>
  <c r="Q344" i="1"/>
  <c r="R344" i="1" s="1"/>
  <c r="K344" i="1"/>
  <c r="Q342" i="1"/>
  <c r="R342" i="1" s="1"/>
  <c r="K342" i="1"/>
  <c r="Q340" i="1"/>
  <c r="R340" i="1" s="1"/>
  <c r="K340" i="1"/>
  <c r="Q338" i="1"/>
  <c r="R338" i="1" s="1"/>
  <c r="K338" i="1"/>
  <c r="Q336" i="1"/>
  <c r="R336" i="1" s="1"/>
  <c r="K336" i="1"/>
  <c r="Q334" i="1"/>
  <c r="R334" i="1" s="1"/>
  <c r="K334" i="1"/>
  <c r="Q332" i="1"/>
  <c r="R332" i="1" s="1"/>
  <c r="K332" i="1"/>
  <c r="Q330" i="1"/>
  <c r="R330" i="1" s="1"/>
  <c r="K330" i="1"/>
  <c r="Q328" i="1"/>
  <c r="R328" i="1" s="1"/>
  <c r="K328" i="1"/>
  <c r="Q326" i="1"/>
  <c r="R326" i="1" s="1"/>
  <c r="K326" i="1"/>
  <c r="Q324" i="1"/>
  <c r="R324" i="1" s="1"/>
  <c r="K324" i="1"/>
  <c r="Q322" i="1"/>
  <c r="R322" i="1" s="1"/>
  <c r="K322" i="1"/>
  <c r="Q320" i="1"/>
  <c r="R320" i="1" s="1"/>
  <c r="K320" i="1"/>
  <c r="K197" i="1"/>
  <c r="K238" i="1"/>
  <c r="K235" i="1"/>
  <c r="K232" i="1"/>
  <c r="K228" i="1"/>
  <c r="K225" i="1"/>
  <c r="K223" i="1"/>
  <c r="K216" i="1"/>
  <c r="K214" i="1"/>
  <c r="K212" i="1"/>
  <c r="K210" i="1"/>
  <c r="K208" i="1"/>
  <c r="K206" i="1"/>
  <c r="K204" i="1"/>
  <c r="K201" i="1"/>
  <c r="K199" i="1"/>
  <c r="R196" i="1"/>
  <c r="W196" i="1"/>
  <c r="W219" i="1"/>
  <c r="R261" i="1"/>
  <c r="W261" i="1"/>
  <c r="R232" i="1"/>
  <c r="W232" i="1"/>
  <c r="R228" i="1"/>
  <c r="R225" i="1"/>
  <c r="R216" i="1"/>
  <c r="W216" i="1"/>
  <c r="R214" i="1"/>
  <c r="W214" i="1"/>
  <c r="R253" i="1"/>
  <c r="R251" i="1"/>
  <c r="R231" i="1"/>
  <c r="W230" i="1"/>
  <c r="W256" i="1"/>
  <c r="K291" i="1"/>
  <c r="K285" i="1"/>
  <c r="K277" i="1"/>
  <c r="K270" i="1"/>
  <c r="K265" i="1"/>
  <c r="K263" i="1"/>
  <c r="K261" i="1"/>
  <c r="K259" i="1"/>
  <c r="K257" i="1"/>
  <c r="K253" i="1"/>
  <c r="K251" i="1"/>
  <c r="K202" i="1"/>
  <c r="R212" i="1"/>
  <c r="W212" i="1"/>
  <c r="R210" i="1"/>
  <c r="W210" i="1"/>
  <c r="R206" i="1"/>
  <c r="W206" i="1"/>
  <c r="R162" i="1"/>
  <c r="W162" i="1"/>
  <c r="R198" i="1"/>
  <c r="W181" i="1"/>
  <c r="K290" i="1"/>
  <c r="K284" i="1"/>
  <c r="K269" i="1"/>
  <c r="K262" i="1"/>
  <c r="K260" i="1"/>
  <c r="K258" i="1"/>
  <c r="K256" i="1"/>
  <c r="K254" i="1"/>
  <c r="K252" i="1"/>
  <c r="K242" i="1"/>
  <c r="K239" i="1"/>
  <c r="K237" i="1"/>
  <c r="K234" i="1"/>
  <c r="K229" i="1"/>
  <c r="K226" i="1"/>
  <c r="K224" i="1"/>
  <c r="K222" i="1"/>
  <c r="K215" i="1"/>
  <c r="K213" i="1"/>
  <c r="K211" i="1"/>
  <c r="K209" i="1"/>
  <c r="K207" i="1"/>
  <c r="K205" i="1"/>
  <c r="R200" i="1"/>
  <c r="W200" i="1"/>
  <c r="Q290" i="1"/>
  <c r="Q284" i="1"/>
  <c r="R284" i="1" s="1"/>
  <c r="Q269" i="1"/>
  <c r="R269" i="1" s="1"/>
  <c r="Q262" i="1"/>
  <c r="Q260" i="1"/>
  <c r="Q258" i="1"/>
  <c r="R256" i="1"/>
  <c r="Q254" i="1"/>
  <c r="R254" i="1" s="1"/>
  <c r="Q252" i="1"/>
  <c r="R252" i="1" s="1"/>
  <c r="Q242" i="1"/>
  <c r="Q239" i="1"/>
  <c r="Q237" i="1"/>
  <c r="Q234" i="1"/>
  <c r="Q229" i="1"/>
  <c r="R229" i="1" s="1"/>
  <c r="Q226" i="1"/>
  <c r="R226" i="1" s="1"/>
  <c r="Q224" i="1"/>
  <c r="R224" i="1" s="1"/>
  <c r="Q222" i="1"/>
  <c r="Q215" i="1"/>
  <c r="R215" i="1" s="1"/>
  <c r="Q213" i="1"/>
  <c r="R213" i="1" s="1"/>
  <c r="Q211" i="1"/>
  <c r="R211" i="1" s="1"/>
  <c r="Q209" i="1"/>
  <c r="Q207" i="1"/>
  <c r="Q205" i="1"/>
  <c r="K200" i="1"/>
  <c r="K193" i="1"/>
  <c r="K138" i="1"/>
  <c r="W180" i="1"/>
  <c r="K182" i="1"/>
  <c r="K181" i="1"/>
  <c r="K164" i="1"/>
  <c r="K163" i="1"/>
  <c r="W154" i="1"/>
  <c r="W166" i="1"/>
  <c r="K192" i="1"/>
  <c r="K190" i="1"/>
  <c r="K186" i="1"/>
  <c r="K169" i="1"/>
  <c r="K140" i="1"/>
  <c r="W172" i="1"/>
  <c r="W174" i="1"/>
  <c r="K188" i="1"/>
  <c r="I175" i="1"/>
  <c r="K175" i="1" s="1"/>
  <c r="J168" i="1"/>
  <c r="K160" i="1"/>
  <c r="K159" i="1"/>
  <c r="Q160" i="1"/>
  <c r="R160" i="1" s="1"/>
  <c r="Q149" i="1"/>
  <c r="K146" i="1"/>
  <c r="K105" i="1"/>
  <c r="K110" i="1"/>
  <c r="K120" i="1"/>
  <c r="W127" i="1"/>
  <c r="W144" i="1"/>
  <c r="Q148" i="1"/>
  <c r="K144" i="1"/>
  <c r="W142" i="1"/>
  <c r="K143" i="1"/>
  <c r="R120" i="1"/>
  <c r="W120" i="1"/>
  <c r="Q110" i="1"/>
  <c r="K116" i="1"/>
  <c r="W117" i="1"/>
  <c r="Q119" i="1"/>
  <c r="W119" i="1" s="1"/>
  <c r="Q131" i="1"/>
  <c r="W131" i="1" s="1"/>
  <c r="Q134" i="1"/>
  <c r="W134" i="1" s="1"/>
  <c r="W137" i="1"/>
  <c r="W141" i="1"/>
  <c r="K109" i="1"/>
  <c r="Q109" i="1"/>
  <c r="W122" i="1"/>
  <c r="W129" i="1"/>
  <c r="K127" i="1"/>
  <c r="R126" i="1"/>
  <c r="Q105" i="1"/>
  <c r="K107" i="1"/>
  <c r="K104" i="1"/>
  <c r="K102" i="1"/>
  <c r="W108" i="1"/>
  <c r="W97" i="1"/>
  <c r="K108" i="1"/>
  <c r="K106" i="1"/>
  <c r="K103" i="1"/>
  <c r="K101" i="1"/>
  <c r="K191" i="1"/>
  <c r="K180" i="1"/>
  <c r="K172" i="1"/>
  <c r="K162" i="1"/>
  <c r="K156" i="1"/>
  <c r="K152" i="1"/>
  <c r="K145" i="1"/>
  <c r="K141" i="1"/>
  <c r="K137" i="1"/>
  <c r="K133" i="1"/>
  <c r="K129" i="1"/>
  <c r="K124" i="1"/>
  <c r="K119" i="1"/>
  <c r="K115" i="1"/>
  <c r="Q40" i="1"/>
  <c r="R40" i="1" s="1"/>
  <c r="P8" i="1"/>
  <c r="P6" i="1"/>
  <c r="K86" i="1"/>
  <c r="K89" i="1"/>
  <c r="K100" i="1"/>
  <c r="K98" i="1"/>
  <c r="K194" i="1"/>
  <c r="K178" i="1"/>
  <c r="K174" i="1"/>
  <c r="K166" i="1"/>
  <c r="K158" i="1"/>
  <c r="K154" i="1"/>
  <c r="K150" i="1"/>
  <c r="K147" i="1"/>
  <c r="K142" i="1"/>
  <c r="K139" i="1"/>
  <c r="K135" i="1"/>
  <c r="K131" i="1"/>
  <c r="K126" i="1"/>
  <c r="K122" i="1"/>
  <c r="K117" i="1"/>
  <c r="K113" i="1"/>
  <c r="Q91" i="1"/>
  <c r="W91" i="1" s="1"/>
  <c r="Q86" i="1"/>
  <c r="R86" i="1" s="1"/>
  <c r="Q89" i="1"/>
  <c r="R89" i="1" s="1"/>
  <c r="K93" i="1"/>
  <c r="Q195" i="1"/>
  <c r="R195" i="1" s="1"/>
  <c r="Q192" i="1"/>
  <c r="R192" i="1" s="1"/>
  <c r="Q190" i="1"/>
  <c r="Q188" i="1"/>
  <c r="Q186" i="1"/>
  <c r="Q179" i="1"/>
  <c r="R179" i="1" s="1"/>
  <c r="Q177" i="1"/>
  <c r="Q175" i="1"/>
  <c r="Q173" i="1"/>
  <c r="R173" i="1" s="1"/>
  <c r="Q171" i="1"/>
  <c r="W171" i="1" s="1"/>
  <c r="Q169" i="1"/>
  <c r="Q167" i="1"/>
  <c r="Q165" i="1"/>
  <c r="R165" i="1" s="1"/>
  <c r="Q161" i="1"/>
  <c r="R161" i="1" s="1"/>
  <c r="Q157" i="1"/>
  <c r="R157" i="1" s="1"/>
  <c r="Q155" i="1"/>
  <c r="R155" i="1" s="1"/>
  <c r="Q153" i="1"/>
  <c r="R153" i="1" s="1"/>
  <c r="Q151" i="1"/>
  <c r="R149" i="1"/>
  <c r="Q140" i="1"/>
  <c r="R140" i="1" s="1"/>
  <c r="Q138" i="1"/>
  <c r="Q136" i="1"/>
  <c r="W136" i="1" s="1"/>
  <c r="Q132" i="1"/>
  <c r="Q130" i="1"/>
  <c r="R130" i="1" s="1"/>
  <c r="Q128" i="1"/>
  <c r="R128" i="1" s="1"/>
  <c r="Q125" i="1"/>
  <c r="R125" i="1" s="1"/>
  <c r="Q123" i="1"/>
  <c r="Q121" i="1"/>
  <c r="R121" i="1" s="1"/>
  <c r="Q118" i="1"/>
  <c r="R118" i="1" s="1"/>
  <c r="Q116" i="1"/>
  <c r="R116" i="1" s="1"/>
  <c r="Q114" i="1"/>
  <c r="R114" i="1" s="1"/>
  <c r="Q112" i="1"/>
  <c r="R112" i="1" s="1"/>
  <c r="Q107" i="1"/>
  <c r="Q104" i="1"/>
  <c r="W104" i="1" s="1"/>
  <c r="Q102" i="1"/>
  <c r="R102" i="1" s="1"/>
  <c r="Q99" i="1"/>
  <c r="W74" i="1"/>
  <c r="W81" i="1"/>
  <c r="Q45" i="1"/>
  <c r="R45" i="1" s="1"/>
  <c r="Q41" i="1"/>
  <c r="R41" i="1" s="1"/>
  <c r="J23" i="1"/>
  <c r="Q23" i="1" s="1"/>
  <c r="R23" i="1" s="1"/>
  <c r="K57" i="1"/>
  <c r="K87" i="1"/>
  <c r="K88" i="1"/>
  <c r="Q88" i="1"/>
  <c r="R88" i="1" s="1"/>
  <c r="K97" i="1"/>
  <c r="K95" i="1"/>
  <c r="K91" i="1"/>
  <c r="W94" i="1"/>
  <c r="W96" i="1"/>
  <c r="K96" i="1"/>
  <c r="K94" i="1"/>
  <c r="P7" i="1"/>
  <c r="P5" i="1"/>
  <c r="P9" i="1"/>
  <c r="W79" i="1"/>
  <c r="K34" i="1"/>
  <c r="K60" i="1"/>
  <c r="K63" i="1"/>
  <c r="W16" i="1"/>
  <c r="K52" i="1"/>
  <c r="K50" i="1"/>
  <c r="W44" i="1"/>
  <c r="W47" i="1"/>
  <c r="K62" i="1"/>
  <c r="Q62" i="1"/>
  <c r="R62" i="1" s="1"/>
  <c r="K84" i="1"/>
  <c r="K81" i="1"/>
  <c r="K77" i="1"/>
  <c r="K75" i="1"/>
  <c r="J37" i="1"/>
  <c r="O37" i="1" s="1"/>
  <c r="J38" i="1"/>
  <c r="Q38" i="1" s="1"/>
  <c r="R38" i="1" s="1"/>
  <c r="W46" i="1"/>
  <c r="K61" i="1"/>
  <c r="K59" i="1"/>
  <c r="Q59" i="1"/>
  <c r="R59" i="1" s="1"/>
  <c r="Q61" i="1"/>
  <c r="K85" i="1"/>
  <c r="K83" i="1"/>
  <c r="K82" i="1"/>
  <c r="K80" i="1"/>
  <c r="K78" i="1"/>
  <c r="K76" i="1"/>
  <c r="K74" i="1"/>
  <c r="K72" i="1"/>
  <c r="Q72" i="1" s="1"/>
  <c r="R72" i="1" s="1"/>
  <c r="K71" i="1"/>
  <c r="Q71" i="1" s="1"/>
  <c r="R71" i="1" s="1"/>
  <c r="K70" i="1"/>
  <c r="Q70" i="1" s="1"/>
  <c r="W26" i="1"/>
  <c r="K48" i="1"/>
  <c r="W45" i="1"/>
  <c r="R33" i="1"/>
  <c r="R20" i="1"/>
  <c r="W2" i="1"/>
  <c r="W4" i="1"/>
  <c r="K46" i="1"/>
  <c r="K55" i="1"/>
  <c r="K53" i="1"/>
  <c r="K51" i="1"/>
  <c r="K49" i="1"/>
  <c r="K47" i="1"/>
  <c r="Q54" i="1"/>
  <c r="R54" i="1" s="1"/>
  <c r="Q52" i="1"/>
  <c r="R52" i="1" s="1"/>
  <c r="Q50" i="1"/>
  <c r="Q48" i="1"/>
  <c r="Q35" i="1"/>
  <c r="R35" i="1" s="1"/>
  <c r="Q18" i="1"/>
  <c r="R18" i="1" s="1"/>
  <c r="W11" i="1"/>
  <c r="K35" i="1"/>
  <c r="K36" i="1"/>
  <c r="O36" i="1"/>
  <c r="Q36" i="1" s="1"/>
  <c r="R36" i="1" s="1"/>
  <c r="K42" i="1"/>
  <c r="P38" i="1"/>
  <c r="K37" i="1"/>
  <c r="K21" i="1"/>
  <c r="K32" i="1"/>
  <c r="K28" i="1"/>
  <c r="K26" i="1"/>
  <c r="K33" i="1"/>
  <c r="K27" i="1"/>
  <c r="Q21" i="1"/>
  <c r="R21" i="1" s="1"/>
  <c r="K31" i="1"/>
  <c r="K29" i="1"/>
  <c r="K24" i="1"/>
  <c r="K12" i="1"/>
  <c r="K9" i="1"/>
  <c r="K7" i="1"/>
  <c r="K5" i="1"/>
  <c r="K20" i="1"/>
  <c r="K11" i="1"/>
  <c r="K8" i="1"/>
  <c r="K6" i="1"/>
  <c r="K4" i="1"/>
  <c r="K22" i="1"/>
  <c r="K16" i="1"/>
  <c r="W146" i="1" l="1"/>
  <c r="R146" i="1"/>
  <c r="K38" i="1"/>
  <c r="R290" i="1"/>
  <c r="W290" i="1"/>
  <c r="R177" i="1"/>
  <c r="W177" i="1"/>
  <c r="R237" i="1"/>
  <c r="W237" i="1"/>
  <c r="R242" i="1"/>
  <c r="W242" i="1"/>
  <c r="R258" i="1"/>
  <c r="W258" i="1"/>
  <c r="R262" i="1"/>
  <c r="W262" i="1"/>
  <c r="R222" i="1"/>
  <c r="W222" i="1"/>
  <c r="R234" i="1"/>
  <c r="W234" i="1"/>
  <c r="R239" i="1"/>
  <c r="W239" i="1"/>
  <c r="R260" i="1"/>
  <c r="W260" i="1"/>
  <c r="W251" i="1"/>
  <c r="W253" i="1"/>
  <c r="W225" i="1"/>
  <c r="W228" i="1"/>
  <c r="R207" i="1"/>
  <c r="W207" i="1"/>
  <c r="R205" i="1"/>
  <c r="W205" i="1"/>
  <c r="R209" i="1"/>
  <c r="W209" i="1"/>
  <c r="R186" i="1"/>
  <c r="W186" i="1"/>
  <c r="R190" i="1"/>
  <c r="W190" i="1"/>
  <c r="R171" i="1"/>
  <c r="R148" i="1"/>
  <c r="W148" i="1"/>
  <c r="R169" i="1"/>
  <c r="W169" i="1"/>
  <c r="R188" i="1"/>
  <c r="W188" i="1"/>
  <c r="R151" i="1"/>
  <c r="W151" i="1"/>
  <c r="R167" i="1"/>
  <c r="W167" i="1"/>
  <c r="R175" i="1"/>
  <c r="W175" i="1"/>
  <c r="K168" i="1"/>
  <c r="Q168" i="1"/>
  <c r="R123" i="1"/>
  <c r="W123" i="1"/>
  <c r="R132" i="1"/>
  <c r="W132" i="1"/>
  <c r="R136" i="1"/>
  <c r="R109" i="1"/>
  <c r="W109" i="1"/>
  <c r="R138" i="1"/>
  <c r="W138" i="1"/>
  <c r="R110" i="1"/>
  <c r="W110" i="1"/>
  <c r="R119" i="1"/>
  <c r="W112" i="1"/>
  <c r="K23" i="1"/>
  <c r="Q37" i="1"/>
  <c r="R37" i="1" s="1"/>
  <c r="W40" i="1"/>
  <c r="R134" i="1"/>
  <c r="R91" i="1"/>
  <c r="W101" i="1"/>
  <c r="R131" i="1"/>
  <c r="R99" i="1"/>
  <c r="W99" i="1"/>
  <c r="R104" i="1"/>
  <c r="R105" i="1"/>
  <c r="W105" i="1"/>
  <c r="R107" i="1"/>
  <c r="W107" i="1"/>
  <c r="W83" i="1"/>
  <c r="R70" i="1"/>
  <c r="W70" i="1"/>
  <c r="W57" i="1"/>
  <c r="R48" i="1"/>
  <c r="W48" i="1"/>
  <c r="R50" i="1"/>
  <c r="W50" i="1"/>
  <c r="R61" i="1"/>
  <c r="W61" i="1"/>
  <c r="W53" i="1"/>
  <c r="W20" i="1"/>
  <c r="W33" i="1" l="1"/>
  <c r="R168" i="1"/>
  <c r="W168" i="1"/>
</calcChain>
</file>

<file path=xl/sharedStrings.xml><?xml version="1.0" encoding="utf-8"?>
<sst xmlns="http://schemas.openxmlformats.org/spreadsheetml/2006/main" count="1005" uniqueCount="733">
  <si>
    <t>Date</t>
    <phoneticPr fontId="1" type="noConversion"/>
  </si>
  <si>
    <t>order detail</t>
    <phoneticPr fontId="1" type="noConversion"/>
  </si>
  <si>
    <t>International shipping</t>
    <phoneticPr fontId="1" type="noConversion"/>
  </si>
  <si>
    <t>order number</t>
    <phoneticPr fontId="1" type="noConversion"/>
  </si>
  <si>
    <t>my shipping</t>
    <phoneticPr fontId="1" type="noConversion"/>
  </si>
  <si>
    <t>6/11/2014</t>
    <phoneticPr fontId="1" type="noConversion"/>
  </si>
  <si>
    <t>kate spade-two handbags</t>
    <phoneticPr fontId="1" type="noConversion"/>
  </si>
  <si>
    <t>Shipping address</t>
    <phoneticPr fontId="1" type="noConversion"/>
  </si>
  <si>
    <t>林立 北京市朝阳区朝外大街22号泛利大厦505，13811386520，邮编100020</t>
    <phoneticPr fontId="1" type="noConversion"/>
  </si>
  <si>
    <t>#01802090</t>
    <phoneticPr fontId="1" type="noConversion"/>
  </si>
  <si>
    <t>total final</t>
    <phoneticPr fontId="1" type="noConversion"/>
  </si>
  <si>
    <t>my final</t>
    <phoneticPr fontId="1" type="noConversion"/>
  </si>
  <si>
    <t>helpping fee</t>
    <phoneticPr fontId="1" type="noConversion"/>
  </si>
  <si>
    <t>final charge</t>
    <phoneticPr fontId="1" type="noConversion"/>
  </si>
  <si>
    <t>my final RMB</t>
    <phoneticPr fontId="1" type="noConversion"/>
  </si>
  <si>
    <t>6/12/2014</t>
    <phoneticPr fontId="1" type="noConversion"/>
  </si>
  <si>
    <t>D0390882</t>
    <phoneticPr fontId="1" type="noConversion"/>
  </si>
  <si>
    <t>Before Tax</t>
    <phoneticPr fontId="1" type="noConversion"/>
  </si>
  <si>
    <t>Coach-F50180 Wallet</t>
    <phoneticPr fontId="1" type="noConversion"/>
  </si>
  <si>
    <t>Coach-F49163 Wallet</t>
    <phoneticPr fontId="1" type="noConversion"/>
  </si>
  <si>
    <t>Coach-F50142 Wristle</t>
    <phoneticPr fontId="1" type="noConversion"/>
  </si>
  <si>
    <t>Coach-F49862 Mini Satchel</t>
    <phoneticPr fontId="1" type="noConversion"/>
  </si>
  <si>
    <t>Coach-F29248-Leather(black)</t>
    <phoneticPr fontId="1" type="noConversion"/>
  </si>
  <si>
    <t>6/12/2014</t>
    <phoneticPr fontId="1" type="noConversion"/>
  </si>
  <si>
    <t>Coach-man wallet(dachao)</t>
    <phoneticPr fontId="1" type="noConversion"/>
  </si>
  <si>
    <t>Coach-F50180 Wallet(jie)</t>
    <phoneticPr fontId="1" type="noConversion"/>
  </si>
  <si>
    <t>D0390877</t>
    <phoneticPr fontId="1" type="noConversion"/>
  </si>
  <si>
    <t>Coach-two bags(laoda)</t>
    <phoneticPr fontId="1" type="noConversion"/>
  </si>
  <si>
    <t>After tax order price</t>
    <phoneticPr fontId="1" type="noConversion"/>
  </si>
  <si>
    <t>After tax my price</t>
    <phoneticPr fontId="1" type="noConversion"/>
  </si>
  <si>
    <t>1ZE13F79P217485321</t>
    <phoneticPr fontId="1" type="noConversion"/>
  </si>
  <si>
    <t>In State Tracking number</t>
    <phoneticPr fontId="1" type="noConversion"/>
  </si>
  <si>
    <t>Ashford - CK Watch(jie)</t>
    <phoneticPr fontId="1" type="noConversion"/>
  </si>
  <si>
    <t>special code</t>
    <phoneticPr fontId="1" type="noConversion"/>
  </si>
  <si>
    <t>6/13/2014</t>
    <phoneticPr fontId="1" type="noConversion"/>
  </si>
  <si>
    <t>Crocs - 3 pairs shoes (jie)</t>
    <phoneticPr fontId="1" type="noConversion"/>
  </si>
  <si>
    <t>08039700CUS</t>
    <phoneticPr fontId="1" type="noConversion"/>
  </si>
  <si>
    <t>Charge from card</t>
    <phoneticPr fontId="1" type="noConversion"/>
  </si>
  <si>
    <t>Shipping charge</t>
    <phoneticPr fontId="1" type="noConversion"/>
  </si>
  <si>
    <t>Difference for extra tax</t>
    <phoneticPr fontId="1" type="noConversion"/>
  </si>
  <si>
    <t>Difference for Shipping</t>
    <phoneticPr fontId="1" type="noConversion"/>
  </si>
  <si>
    <t>6/14/2014</t>
    <phoneticPr fontId="1" type="noConversion"/>
  </si>
  <si>
    <t> 1019745904  </t>
  </si>
  <si>
    <t>paid already</t>
    <phoneticPr fontId="1" type="noConversion"/>
  </si>
  <si>
    <t>paid already - short 8RMB</t>
    <phoneticPr fontId="1" type="noConversion"/>
  </si>
  <si>
    <t>6/16/2014</t>
    <phoneticPr fontId="1" type="noConversion"/>
  </si>
  <si>
    <t>Coach F29248 leather black</t>
    <phoneticPr fontId="1" type="noConversion"/>
  </si>
  <si>
    <t>D0391990</t>
    <phoneticPr fontId="1" type="noConversion"/>
  </si>
  <si>
    <t>1ZA47Y780316972755</t>
  </si>
  <si>
    <t>1ZA47Y780316973003</t>
  </si>
  <si>
    <t>special discount</t>
    <phoneticPr fontId="1" type="noConversion"/>
  </si>
  <si>
    <t>Extra Profit</t>
    <phoneticPr fontId="1" type="noConversion"/>
  </si>
  <si>
    <t xml:space="preserve">Coach F50180&amp;F49163 Wallet * 3 </t>
    <phoneticPr fontId="1" type="noConversion"/>
  </si>
  <si>
    <t>D0391992</t>
    <phoneticPr fontId="1" type="noConversion"/>
  </si>
  <si>
    <t>Coach F50142 - 2 wrislte(jie)</t>
    <phoneticPr fontId="1" type="noConversion"/>
  </si>
  <si>
    <t>Coach F49163(persimmon) wallet&amp;Coach F28365 - strawberry tote&amp;Coach F50142 - 1 strawberry wrislte</t>
    <phoneticPr fontId="1" type="noConversion"/>
  </si>
  <si>
    <t>($294-$50=$244*1.07=$261.08)</t>
  </si>
  <si>
    <t>Notes</t>
    <phoneticPr fontId="1" type="noConversion"/>
  </si>
  <si>
    <t>($480-$75=$405*1.07=433.35)</t>
  </si>
  <si>
    <t>苏莉 北京市丰台区开阳路1号瀚海花园大厦7层，邮编100069，电话13601316494</t>
    <phoneticPr fontId="1" type="noConversion"/>
  </si>
  <si>
    <t>苏莉 北京市西城区小马厂路1号院3号楼西豪逸景B-1610，100055，电话13601316494</t>
    <phoneticPr fontId="1" type="noConversion"/>
  </si>
  <si>
    <t>6/17/2014</t>
    <phoneticPr fontId="1" type="noConversion"/>
  </si>
  <si>
    <t>Coach-F49163(strawberry) wallet</t>
    <phoneticPr fontId="1" type="noConversion"/>
  </si>
  <si>
    <t>Coach-F28504(shell pink)handbag</t>
    <phoneticPr fontId="1" type="noConversion"/>
  </si>
  <si>
    <t>V6517153(老哥同事）</t>
    <phoneticPr fontId="1" type="noConversion"/>
  </si>
  <si>
    <t>Coach-F28501(green) handbag</t>
    <phoneticPr fontId="1" type="noConversion"/>
  </si>
  <si>
    <t>V6517153(jie的弟弟）</t>
    <phoneticPr fontId="1" type="noConversion"/>
  </si>
  <si>
    <t>Coach-F49163(red) wallet</t>
    <phoneticPr fontId="1" type="noConversion"/>
  </si>
  <si>
    <t>V6517153(李月）其他一起拼单</t>
    <phoneticPr fontId="1" type="noConversion"/>
  </si>
  <si>
    <t>Shipping date</t>
    <phoneticPr fontId="1" type="noConversion"/>
  </si>
  <si>
    <t>Number</t>
    <phoneticPr fontId="1" type="noConversion"/>
  </si>
  <si>
    <t>ship 6/19/2014,B104687,5.5LB</t>
    <phoneticPr fontId="1" type="noConversion"/>
  </si>
  <si>
    <t>1&amp;3 ship together</t>
  </si>
  <si>
    <t>1&amp;3 ship together</t>
    <phoneticPr fontId="1" type="noConversion"/>
  </si>
  <si>
    <t>6/19/2014</t>
    <phoneticPr fontId="1" type="noConversion"/>
  </si>
  <si>
    <t>Nautica cloth</t>
    <phoneticPr fontId="1" type="noConversion"/>
  </si>
  <si>
    <t>GNC Grape Seed (3-other)</t>
    <phoneticPr fontId="1" type="noConversion"/>
  </si>
  <si>
    <t>GNC Grape Seed (2-jie)</t>
    <phoneticPr fontId="1" type="noConversion"/>
  </si>
  <si>
    <t>($19.99*5+$3.99shipping fee=103.94)no tax</t>
    <phoneticPr fontId="1" type="noConversion"/>
  </si>
  <si>
    <t xml:space="preserve"> 1&amp;3 ship together 6/19/14,B104686,7.45LB=7.5LB</t>
    <phoneticPr fontId="1" type="noConversion"/>
  </si>
  <si>
    <t>lao gong take</t>
    <phoneticPr fontId="1" type="noConversion"/>
  </si>
  <si>
    <t>$75 special discount</t>
    <phoneticPr fontId="1" type="noConversion"/>
  </si>
  <si>
    <t>$50 special discount</t>
    <phoneticPr fontId="1" type="noConversion"/>
  </si>
  <si>
    <t>$75 special discount</t>
    <phoneticPr fontId="1" type="noConversion"/>
  </si>
  <si>
    <t>($371-$75=$296*1.07=$316.72)share w/Yifei-$67</t>
    <phoneticPr fontId="1" type="noConversion"/>
  </si>
  <si>
    <t>6/23/2014</t>
    <phoneticPr fontId="1" type="noConversion"/>
  </si>
  <si>
    <t>Crocs shoes(jie)</t>
    <phoneticPr fontId="1" type="noConversion"/>
  </si>
  <si>
    <t>Crocs shoes(Xiaochenchen)</t>
    <phoneticPr fontId="1" type="noConversion"/>
  </si>
  <si>
    <t>Crocs shoes(ge's friend)</t>
    <phoneticPr fontId="1" type="noConversion"/>
  </si>
  <si>
    <t>6/25/2014</t>
    <phoneticPr fontId="1" type="noConversion"/>
  </si>
  <si>
    <t>Amazon - baby stuff (6件）</t>
    <phoneticPr fontId="1" type="noConversion"/>
  </si>
  <si>
    <t>Aden&amp;Anais - 4件（包被等）</t>
    <phoneticPr fontId="1" type="noConversion"/>
  </si>
  <si>
    <t>5&amp;10&amp;12 ship together 6/26/14</t>
  </si>
  <si>
    <t>ship 6/25/14 2.45lbs B104720</t>
    <phoneticPr fontId="1" type="noConversion"/>
  </si>
  <si>
    <t>Coach-F51265-swing pack-green&amp;blue</t>
    <phoneticPr fontId="1" type="noConversion"/>
  </si>
  <si>
    <t>D0396692</t>
    <phoneticPr fontId="1" type="noConversion"/>
  </si>
  <si>
    <t>Coach-F51265-swing pack-khaki&amp;pink</t>
    <phoneticPr fontId="1" type="noConversion"/>
  </si>
  <si>
    <t>Kipling-backpack-紫色书包</t>
    <phoneticPr fontId="1" type="noConversion"/>
  </si>
  <si>
    <t>邮寄地址：</t>
    <phoneticPr fontId="1" type="noConversion"/>
  </si>
  <si>
    <t>包裹详情：</t>
    <phoneticPr fontId="1" type="noConversion"/>
  </si>
  <si>
    <t>备注：</t>
    <phoneticPr fontId="1" type="noConversion"/>
  </si>
  <si>
    <t>分3个包裹寄到您的地址，一起拼单寄回中国</t>
    <phoneticPr fontId="1" type="noConversion"/>
  </si>
  <si>
    <t>Tracking Number：</t>
    <phoneticPr fontId="1" type="noConversion"/>
  </si>
  <si>
    <t>#9261292700157306288305 #9261292700157306288190 #9261292700157306288206</t>
    <phoneticPr fontId="1" type="noConversion"/>
  </si>
  <si>
    <t>6/27/2014</t>
    <phoneticPr fontId="1" type="noConversion"/>
  </si>
  <si>
    <t>6双 Crocs鞋拼单寄回国</t>
    <phoneticPr fontId="1" type="noConversion"/>
  </si>
  <si>
    <t>1个小猩猩包，一个小的ks钱包拼单寄回国</t>
    <phoneticPr fontId="1" type="noConversion"/>
  </si>
  <si>
    <t xml:space="preserve">收件人：陈国娟 中国，江苏省 扬州市北郊郭集工业园三区 迎宾大酒店南对面四楼 邮编：225600 电话：18936469661
</t>
    <phoneticPr fontId="1" type="noConversion"/>
  </si>
  <si>
    <t>分2个包裹寄到您的地址，一起拼单寄回中国</t>
    <phoneticPr fontId="1" type="noConversion"/>
  </si>
  <si>
    <t>Kate Spade:1ZE13F79P217916730  Kipling(from Amazon:not shipped yet)</t>
    <phoneticPr fontId="1" type="noConversion"/>
  </si>
  <si>
    <t>Kipling-紫色小挎包(二道姐姐）</t>
    <phoneticPr fontId="1" type="noConversion"/>
  </si>
  <si>
    <t>Kate Spade粉色钱包（二道姐姐）</t>
    <phoneticPr fontId="1" type="noConversion"/>
  </si>
  <si>
    <t>6/26/2014</t>
    <phoneticPr fontId="1" type="noConversion"/>
  </si>
  <si>
    <t>GNC-3瓶女士保健品（2送1）-嫂子朋友</t>
    <phoneticPr fontId="1" type="noConversion"/>
  </si>
  <si>
    <t>GNC-1瓶grape seed</t>
    <phoneticPr fontId="1" type="noConversion"/>
  </si>
  <si>
    <t>CamelBak黑色运动水壶</t>
    <phoneticPr fontId="1" type="noConversion"/>
  </si>
  <si>
    <t>CAML-4415001</t>
    <phoneticPr fontId="1" type="noConversion"/>
  </si>
  <si>
    <t>收件人：聂伟， 中国，深圳市，南山区高新南九道威新软件园7号楼2楼，电话：18665889986，邮编:518057</t>
    <phoneticPr fontId="1" type="noConversion"/>
  </si>
  <si>
    <t>1个CamelBak的黑色运动水壶，4瓶GNC保健品（1瓶葡萄籽和3瓶女士保健品）一起拼单寄回</t>
    <phoneticPr fontId="1" type="noConversion"/>
  </si>
  <si>
    <t xml:space="preserve">水壶：1ZE3560W0396541851 GNC：61290100139028828412
</t>
    <phoneticPr fontId="1" type="noConversion"/>
  </si>
  <si>
    <t>1ZA47Y780317457819 和 1ZA47Y780317451646</t>
    <phoneticPr fontId="1" type="noConversion"/>
  </si>
  <si>
    <t>分别在2个包裹里寄到您的地址，一起拼单寄回中国</t>
    <phoneticPr fontId="1" type="noConversion"/>
  </si>
  <si>
    <t>3个Coach包包-拼单寄回</t>
    <phoneticPr fontId="1" type="noConversion"/>
  </si>
  <si>
    <t>Coach-F23309-Brown书包</t>
    <phoneticPr fontId="1" type="noConversion"/>
  </si>
  <si>
    <t>D0396427</t>
    <phoneticPr fontId="1" type="noConversion"/>
  </si>
  <si>
    <t>Coach-F52087-彩色tote</t>
    <phoneticPr fontId="1" type="noConversion"/>
  </si>
  <si>
    <t>Coach-F23309-black书包-jie</t>
    <phoneticPr fontId="1" type="noConversion"/>
  </si>
  <si>
    <t>1个Coach包包和1个Coach钱包一起拼单寄回</t>
    <phoneticPr fontId="1" type="noConversion"/>
  </si>
  <si>
    <t>在1个包裹里寄到您的地址，一起拼单寄回中国</t>
    <phoneticPr fontId="1" type="noConversion"/>
  </si>
  <si>
    <t>Coach-F28503-pink handbag</t>
    <phoneticPr fontId="1" type="noConversion"/>
  </si>
  <si>
    <t>Coach-F49163-strawberry wallet</t>
    <phoneticPr fontId="1" type="noConversion"/>
  </si>
  <si>
    <t>孙天香收 北京市朝阳区西大望路甲１２号主楼ＡＢ栋二层，邮编100124，电话：</t>
    <phoneticPr fontId="1" type="noConversion"/>
  </si>
  <si>
    <t>2个Coach小包和1个Coach钱包，1个紫色小猩猩书包及下图中宝宝用品（A&amp;A包被等，feeder，teether,safety 1st套装，Bio-oil一瓶，小剪子）</t>
    <phoneticPr fontId="1" type="noConversion"/>
  </si>
  <si>
    <t>这单会分很多箱寄给您。。。麻烦按照图片核对所有货，收齐后发照片给我看下，谢谢</t>
    <phoneticPr fontId="1" type="noConversion"/>
  </si>
  <si>
    <t>红色coach钱包已经收到，2个Coach小斜挎包：1ZA47Y780317457819，宝宝的amazon一箱货：9361289949046103253653。宝宝的一个橘色teether:9400110200883255715683, A&amp;A一箱宝宝包被等:1ZE8R2110311667197</t>
    <phoneticPr fontId="1" type="noConversion"/>
  </si>
  <si>
    <t>孙天香（收）中国，北京市朝阳区西大望路甲１２号主楼ＡＢ栋二层，邮编100124，电话：</t>
    <phoneticPr fontId="1" type="noConversion"/>
  </si>
  <si>
    <t>6/29/2014</t>
    <phoneticPr fontId="1" type="noConversion"/>
  </si>
  <si>
    <t>Kate Spade - jie</t>
    <phoneticPr fontId="1" type="noConversion"/>
  </si>
  <si>
    <t>lao gong take back</t>
    <phoneticPr fontId="1" type="noConversion"/>
  </si>
  <si>
    <t>7/9/2014</t>
    <phoneticPr fontId="1" type="noConversion"/>
  </si>
  <si>
    <t>Ray-Ban - jie'sister</t>
    <phoneticPr fontId="1" type="noConversion"/>
  </si>
  <si>
    <t>Kipling-jie's sister in law</t>
    <phoneticPr fontId="1" type="noConversion"/>
  </si>
  <si>
    <t>111-2639145-2100249-LG take</t>
    <phoneticPr fontId="1" type="noConversion"/>
  </si>
  <si>
    <t>7/2/2014 B104295</t>
    <phoneticPr fontId="1" type="noConversion"/>
  </si>
  <si>
    <t>ship with 14-7/10/2014</t>
    <phoneticPr fontId="1" type="noConversion"/>
  </si>
  <si>
    <t>7/2/2014 B104298 - 1.6lbs</t>
    <phoneticPr fontId="1" type="noConversion"/>
  </si>
  <si>
    <t>LG take</t>
    <phoneticPr fontId="1" type="noConversion"/>
  </si>
  <si>
    <t>7/10/2014</t>
    <phoneticPr fontId="1" type="noConversion"/>
  </si>
  <si>
    <t>F71230-man bag</t>
    <phoneticPr fontId="1" type="noConversion"/>
  </si>
  <si>
    <t>F71102-man bag</t>
    <phoneticPr fontId="1" type="noConversion"/>
  </si>
  <si>
    <t>Coach Factory-F70304-man bag</t>
    <phoneticPr fontId="1" type="noConversion"/>
  </si>
  <si>
    <t>D0399726(包裹8）</t>
    <phoneticPr fontId="1" type="noConversion"/>
  </si>
  <si>
    <t>李月收 北京市朝阳区太阳宫新纪家园5号楼207 邮编：100031， 电话：18610966896</t>
    <phoneticPr fontId="1" type="noConversion"/>
  </si>
  <si>
    <t xml:space="preserve">王芸（收） 江苏省淮安市涟水县公路站宿舍3号楼205，邮编：223400， 电话：15366620923
</t>
    <phoneticPr fontId="1" type="noConversion"/>
  </si>
  <si>
    <t>运费到运输公司之后转账</t>
    <phoneticPr fontId="1" type="noConversion"/>
  </si>
  <si>
    <t>0005100247571-LG take</t>
    <phoneticPr fontId="1" type="noConversion"/>
  </si>
  <si>
    <t>7/10/2014</t>
    <phoneticPr fontId="1" type="noConversion"/>
  </si>
  <si>
    <t>lancome-小黑瓶</t>
    <phoneticPr fontId="1" type="noConversion"/>
  </si>
  <si>
    <t>粉水*2</t>
    <phoneticPr fontId="1" type="noConversion"/>
  </si>
  <si>
    <t>absolute toner</t>
    <phoneticPr fontId="1" type="noConversion"/>
  </si>
  <si>
    <t>absolute cleaner</t>
    <phoneticPr fontId="1" type="noConversion"/>
  </si>
  <si>
    <t>LAN_02031749(包裹7）</t>
    <phoneticPr fontId="1" type="noConversion"/>
  </si>
  <si>
    <t>包裹详情：3个Coach男士包包</t>
    <phoneticPr fontId="1" type="noConversion"/>
  </si>
  <si>
    <t>7/13/2014</t>
    <phoneticPr fontId="1" type="noConversion"/>
  </si>
  <si>
    <t>LG take</t>
    <phoneticPr fontId="1" type="noConversion"/>
  </si>
  <si>
    <t>Kiel's cream-jie</t>
    <phoneticPr fontId="1" type="noConversion"/>
  </si>
  <si>
    <t>7/14/2014</t>
    <phoneticPr fontId="1" type="noConversion"/>
  </si>
  <si>
    <t>TOMS shoes - 2 pairs</t>
    <phoneticPr fontId="1" type="noConversion"/>
  </si>
  <si>
    <t>special code deduct $10</t>
    <phoneticPr fontId="1" type="noConversion"/>
  </si>
  <si>
    <t>Tracking Number：1ZA47Y780317735072</t>
    <phoneticPr fontId="1" type="noConversion"/>
  </si>
  <si>
    <t>包裹详情：2双TOMS的鞋</t>
    <phoneticPr fontId="1" type="noConversion"/>
  </si>
  <si>
    <r>
      <t>Order number</t>
    </r>
    <r>
      <rPr>
        <b/>
        <sz val="7"/>
        <color rgb="FF000000"/>
        <rFont val="宋体"/>
        <family val="3"/>
        <charset val="134"/>
      </rPr>
      <t>：</t>
    </r>
    <r>
      <rPr>
        <b/>
        <sz val="7"/>
        <color rgb="FF000000"/>
        <rFont val="Verdana"/>
        <family val="2"/>
      </rPr>
      <t xml:space="preserve"> 113-5705113-8824205</t>
    </r>
    <phoneticPr fontId="1" type="noConversion"/>
  </si>
  <si>
    <t>SO64909</t>
    <phoneticPr fontId="1" type="noConversion"/>
  </si>
  <si>
    <t>580434263(包裹9）</t>
    <phoneticPr fontId="1" type="noConversion"/>
  </si>
  <si>
    <t>7/15/2014</t>
    <phoneticPr fontId="1" type="noConversion"/>
  </si>
  <si>
    <t>(包裹10）</t>
    <phoneticPr fontId="1" type="noConversion"/>
  </si>
  <si>
    <t>Amazon（睡眠海马）</t>
    <phoneticPr fontId="1" type="noConversion"/>
  </si>
  <si>
    <t>Amazon（2把小剪刀）</t>
    <phoneticPr fontId="1" type="noConversion"/>
  </si>
  <si>
    <t>Amazon（4个奶瓶）</t>
    <phoneticPr fontId="1" type="noConversion"/>
  </si>
  <si>
    <t>A&amp;A包被（4条）</t>
    <phoneticPr fontId="1" type="noConversion"/>
  </si>
  <si>
    <t>1ZW8F7510319800090 1ZW8F7510319863611</t>
    <phoneticPr fontId="1" type="noConversion"/>
  </si>
  <si>
    <t>1瓶小黑瓶，2瓶粉水，系列1瓶水1瓶洗面奶，一个小粉瓶赠品</t>
    <phoneticPr fontId="1" type="noConversion"/>
  </si>
  <si>
    <t>1ZA79W660338310867</t>
    <phoneticPr fontId="1" type="noConversion"/>
  </si>
  <si>
    <t xml:space="preserve">邮寄地址：
</t>
    <phoneticPr fontId="1" type="noConversion"/>
  </si>
  <si>
    <t>包裹详情：一个蓝色睡眠海马，两把小剪刀，一包A&amp;A包被（4条），4个奶瓶</t>
    <phoneticPr fontId="1" type="noConversion"/>
  </si>
  <si>
    <t>Your Order Number is:313691</t>
  </si>
  <si>
    <t>Order Detail - #03357191803100</t>
  </si>
  <si>
    <t>加州宝宝洗浴二合一（4瓶）</t>
    <phoneticPr fontId="1" type="noConversion"/>
  </si>
  <si>
    <t>加州宝宝爽身粉（2瓶）</t>
    <phoneticPr fontId="1" type="noConversion"/>
  </si>
  <si>
    <t>加州宝宝防晒霜（1瓶）</t>
    <phoneticPr fontId="1" type="noConversion"/>
  </si>
  <si>
    <t>7/16/2014</t>
    <phoneticPr fontId="1" type="noConversion"/>
  </si>
  <si>
    <t>GNC保健品 - jie</t>
    <phoneticPr fontId="1" type="noConversion"/>
  </si>
  <si>
    <t>包裹11</t>
    <phoneticPr fontId="1" type="noConversion"/>
  </si>
  <si>
    <t>PeterThomas（油两瓶）</t>
    <phoneticPr fontId="1" type="noConversion"/>
  </si>
  <si>
    <t>Tracking Number：1ZE8R2110311702175（包被）9361289949046104141133（奶瓶，海马，剪刀），318693286505879（加州宝宝5瓶）</t>
    <phoneticPr fontId="1" type="noConversion"/>
  </si>
  <si>
    <t>分三箱寄到您处</t>
    <phoneticPr fontId="1" type="noConversion"/>
  </si>
  <si>
    <t>8瓶保健品加2瓶面霜一起拼单寄回</t>
    <phoneticPr fontId="1" type="noConversion"/>
  </si>
  <si>
    <t>7/16/2014 B104974</t>
    <phoneticPr fontId="1" type="noConversion"/>
  </si>
  <si>
    <t xml:space="preserve">邮寄地址：Charlotte Zhou（收）北京市朝阳区东大桥路9号 侨福芳草地大厦C座3层 邮编：100020 13581627309
</t>
    <phoneticPr fontId="1" type="noConversion"/>
  </si>
  <si>
    <t>Charlotte Zhou（收）北京市朝阳区东大桥路9号 侨福芳草地大厦C座3层 邮编：100020 13581627309</t>
  </si>
  <si>
    <t>石健睿收，江苏省高邮市文游中路168号招商银行，邮编225600，电话：051484609698</t>
    <phoneticPr fontId="1" type="noConversion"/>
  </si>
  <si>
    <t>2瓶</t>
    <phoneticPr fontId="1" type="noConversion"/>
  </si>
  <si>
    <t>7/18/2014</t>
    <phoneticPr fontId="1" type="noConversion"/>
  </si>
  <si>
    <t>LG take</t>
    <phoneticPr fontId="1" type="noConversion"/>
  </si>
  <si>
    <t>MK - Mini 贝壳包 - LG的二哥</t>
    <phoneticPr fontId="1" type="noConversion"/>
  </si>
  <si>
    <t>share with Yifei $14</t>
    <phoneticPr fontId="1" type="noConversion"/>
  </si>
  <si>
    <t>7/20/2014</t>
    <phoneticPr fontId="1" type="noConversion"/>
  </si>
  <si>
    <t>两双TOMS的黑色鞋</t>
    <phoneticPr fontId="1" type="noConversion"/>
  </si>
  <si>
    <t>包裹12 （584317194）</t>
    <phoneticPr fontId="1" type="noConversion"/>
  </si>
  <si>
    <t>裴成海收，北京市宣武门内大街2号，邮编：100031 电话：13426265926</t>
    <phoneticPr fontId="1" type="noConversion"/>
  </si>
  <si>
    <t>61290100139129239438（保健品），1ZA3R2500378868007两瓶面霜</t>
    <phoneticPr fontId="1" type="noConversion"/>
  </si>
  <si>
    <t>7/20/2014 B104975 1.65lbs</t>
    <phoneticPr fontId="1" type="noConversion"/>
  </si>
  <si>
    <t>amazon deduct $20</t>
    <phoneticPr fontId="1" type="noConversion"/>
  </si>
  <si>
    <t>7/17/2014 B104976 4.3lbs</t>
    <phoneticPr fontId="1" type="noConversion"/>
  </si>
  <si>
    <t>7/10/2014-B104294 &amp; B104308</t>
    <phoneticPr fontId="1" type="noConversion"/>
  </si>
  <si>
    <t>7/24/2014</t>
    <phoneticPr fontId="1" type="noConversion"/>
  </si>
  <si>
    <t>Ralph Lauren 5件POLO衫</t>
    <phoneticPr fontId="1" type="noConversion"/>
  </si>
  <si>
    <t>包裹12 Order#: 3401554176</t>
    <phoneticPr fontId="1" type="noConversion"/>
  </si>
  <si>
    <t>share with Yifei $45</t>
    <phoneticPr fontId="1" type="noConversion"/>
  </si>
  <si>
    <t>运费到运输公司之后单独支付 already paid ￥400运费</t>
    <phoneticPr fontId="1" type="noConversion"/>
  </si>
  <si>
    <t>share with Yifei $9</t>
    <phoneticPr fontId="1" type="noConversion"/>
  </si>
  <si>
    <t>4件Polo衫</t>
    <phoneticPr fontId="1" type="noConversion"/>
  </si>
  <si>
    <t>包裹13 Order#: 3404796526</t>
    <phoneticPr fontId="1" type="noConversion"/>
  </si>
  <si>
    <t>7/26/2014</t>
    <phoneticPr fontId="1" type="noConversion"/>
  </si>
  <si>
    <t>Ralph Lauren 4件POLO衫</t>
    <phoneticPr fontId="1" type="noConversion"/>
  </si>
  <si>
    <t>1ZA79W660338413890（鞋）1ZA17A690310437810（衣服）</t>
    <phoneticPr fontId="1" type="noConversion"/>
  </si>
  <si>
    <t>2双TOMS的鞋和5件POLO衫拼单寄回</t>
    <phoneticPr fontId="1" type="noConversion"/>
  </si>
  <si>
    <t>鞋已经收到，并已经收取$13运费，等衣服到了一起寄回</t>
    <phoneticPr fontId="1" type="noConversion"/>
  </si>
  <si>
    <t xml:space="preserve">钱寿涛收，江苏省扬州市高邮市盛丰南苑26-7，邮编：225600，电话：15050750056
</t>
    <phoneticPr fontId="1" type="noConversion"/>
  </si>
  <si>
    <t xml:space="preserve">胡潇囡，北京市石景山区晋元庄路9号北京大学首钢医院营养科，邮编：100144，电话：18210395404
</t>
    <phoneticPr fontId="1" type="noConversion"/>
  </si>
  <si>
    <t>一件AF外套和一条AF裤子</t>
    <phoneticPr fontId="1" type="noConversion"/>
  </si>
  <si>
    <t>7/29/2014</t>
    <phoneticPr fontId="1" type="noConversion"/>
  </si>
  <si>
    <t>AF 一件外套一条裤子</t>
    <phoneticPr fontId="1" type="noConversion"/>
  </si>
  <si>
    <t xml:space="preserve">包裹14 Order：20046425733
</t>
    <phoneticPr fontId="1" type="noConversion"/>
  </si>
  <si>
    <t>7/30/2014</t>
    <phoneticPr fontId="1" type="noConversion"/>
  </si>
  <si>
    <t>施华洛世奇3对耳环</t>
    <phoneticPr fontId="1" type="noConversion"/>
  </si>
  <si>
    <t>包裹15：129992297</t>
    <phoneticPr fontId="1" type="noConversion"/>
  </si>
  <si>
    <t>car08406189</t>
  </si>
  <si>
    <t>7/31/2014</t>
    <phoneticPr fontId="1" type="noConversion"/>
  </si>
  <si>
    <t>Carter's 浴巾和一套衣服</t>
    <phoneticPr fontId="1" type="noConversion"/>
  </si>
  <si>
    <t xml:space="preserve">包裹16 </t>
    <phoneticPr fontId="1" type="noConversion"/>
  </si>
  <si>
    <t>Coach一个大包一个钱包一个小手包</t>
    <phoneticPr fontId="1" type="noConversion"/>
  </si>
  <si>
    <t>D0402917</t>
    <phoneticPr fontId="1" type="noConversion"/>
  </si>
  <si>
    <t>ORDER NUMBER</t>
  </si>
  <si>
    <t>8/1/2014</t>
    <phoneticPr fontId="1" type="noConversion"/>
  </si>
  <si>
    <t>VS Bra两个</t>
    <phoneticPr fontId="1" type="noConversion"/>
  </si>
  <si>
    <t>李月收 北京市朝阳区太阳宫新纪家园5号楼207 邮编：100031， 电话：18610966896</t>
  </si>
  <si>
    <t>分两个箱子寄到您处，拼单寄回国</t>
    <phoneticPr fontId="1" type="noConversion"/>
  </si>
  <si>
    <t>苏莉 北京市丰台区开阳路1号瀚海花园大厦7层，邮编100069，电话13601316494</t>
    <phoneticPr fontId="1" type="noConversion"/>
  </si>
  <si>
    <t>3对耳环和2个胸罩拼单寄回</t>
    <phoneticPr fontId="1" type="noConversion"/>
  </si>
  <si>
    <t>Tracking Number：61293150231974805687</t>
    <phoneticPr fontId="1" type="noConversion"/>
  </si>
  <si>
    <t>9274892700465391132462（bra）1Z10W91X0302458666（耳环）</t>
    <phoneticPr fontId="1" type="noConversion"/>
  </si>
  <si>
    <t xml:space="preserve"> 1&amp;3 ship together 6/19/14,B104686,7.45LB=7.5LB</t>
    <phoneticPr fontId="1" type="noConversion"/>
  </si>
  <si>
    <t>8/4/2014</t>
    <phoneticPr fontId="1" type="noConversion"/>
  </si>
  <si>
    <t>GNC 大蒜油胶囊 - 2瓶</t>
    <phoneticPr fontId="1" type="noConversion"/>
  </si>
  <si>
    <t>car08446940</t>
  </si>
  <si>
    <t>car08446940</t>
    <phoneticPr fontId="1" type="noConversion"/>
  </si>
  <si>
    <t>Carter's两件衣服</t>
    <phoneticPr fontId="1" type="noConversion"/>
  </si>
  <si>
    <t>王京宁 北京市丰台区开阳路1号瀚海花园大厦7层，邮编100069，电话13601316494</t>
    <phoneticPr fontId="1" type="noConversion"/>
  </si>
  <si>
    <t>3个Coach包包，3条宝宝浴巾，三套宝宝衣服,2瓶GNC大蒜精华胶囊</t>
    <phoneticPr fontId="1" type="noConversion"/>
  </si>
  <si>
    <t>分四个箱子寄到您处，拼单寄回国</t>
    <phoneticPr fontId="1" type="noConversion"/>
  </si>
  <si>
    <t>1Z869V6RYW13146283（宝宝用品）1ZA47Y780317920719（Coach包包），GNC和另一箱宝宝衣服还没有号码</t>
    <phoneticPr fontId="1" type="noConversion"/>
  </si>
  <si>
    <t>#3612640425</t>
    <phoneticPr fontId="1" type="noConversion"/>
  </si>
  <si>
    <t>YOUR ORDER NUMBER IS: 3612228645</t>
  </si>
  <si>
    <t>8/6/2014</t>
    <phoneticPr fontId="1" type="noConversion"/>
  </si>
  <si>
    <t>GNC维骨力速效款-2瓶</t>
    <phoneticPr fontId="1" type="noConversion"/>
  </si>
  <si>
    <t>GNC女性综合维生素活力款-4瓶</t>
    <phoneticPr fontId="1" type="noConversion"/>
  </si>
  <si>
    <t>GNC钙片-4瓶</t>
    <phoneticPr fontId="1" type="noConversion"/>
  </si>
  <si>
    <t>GNC男性综合维生素运动款-4瓶</t>
    <phoneticPr fontId="1" type="noConversion"/>
  </si>
  <si>
    <r>
      <t>GNC</t>
    </r>
    <r>
      <rPr>
        <sz val="11"/>
        <color rgb="FF000000"/>
        <rFont val="宋体"/>
        <family val="3"/>
        <charset val="134"/>
      </rPr>
      <t>女性综合维生素</t>
    </r>
    <r>
      <rPr>
        <sz val="11"/>
        <color rgb="FF000000"/>
        <rFont val="Arial"/>
        <family val="2"/>
      </rPr>
      <t xml:space="preserve"> </t>
    </r>
    <r>
      <rPr>
        <sz val="11"/>
        <color rgb="FF000000"/>
        <rFont val="宋体"/>
        <family val="3"/>
        <charset val="134"/>
      </rPr>
      <t>骨密度配方</t>
    </r>
    <r>
      <rPr>
        <sz val="11"/>
        <color rgb="FF000000"/>
        <rFont val="Arial"/>
        <family val="2"/>
      </rPr>
      <t>-4</t>
    </r>
    <r>
      <rPr>
        <sz val="11"/>
        <color rgb="FF000000"/>
        <rFont val="宋体"/>
        <family val="3"/>
        <charset val="134"/>
      </rPr>
      <t>瓶</t>
    </r>
    <phoneticPr fontId="1" type="noConversion"/>
  </si>
  <si>
    <t>包裹17</t>
    <phoneticPr fontId="1" type="noConversion"/>
  </si>
  <si>
    <t>7/2/2014 B104297-2.65lbs</t>
    <phoneticPr fontId="1" type="noConversion"/>
  </si>
  <si>
    <t>7/25/2014 加州宝宝B103575-3.8lbs</t>
    <phoneticPr fontId="1" type="noConversion"/>
  </si>
  <si>
    <t>surefire黑色手电一个</t>
    <phoneticPr fontId="1" type="noConversion"/>
  </si>
  <si>
    <t>（苏莉）</t>
    <phoneticPr fontId="1" type="noConversion"/>
  </si>
  <si>
    <t>GNC维骨力速效款-2瓶，GNC女性综合维生素活力款-4瓶，GNC女性综合维生素骨密度配方-4瓶，GNC男性综合维生素运动款-4瓶，GNC钙片-4瓶，surefire黑色手电一个</t>
    <phoneticPr fontId="1" type="noConversion"/>
  </si>
  <si>
    <t>#61299998972538031589（GNC第一箱），#61299998972538031633（GNC第二箱），手电尚未发货</t>
    <phoneticPr fontId="1" type="noConversion"/>
  </si>
  <si>
    <t>GNC会分两箱寄到您处，请务必取出发票，手电单独寄到您处，这些一起拼单寄回</t>
    <phoneticPr fontId="1" type="noConversion"/>
  </si>
  <si>
    <t>8/11/2014</t>
    <phoneticPr fontId="1" type="noConversion"/>
  </si>
  <si>
    <t>Coach包-F24603（橘黄色）手包</t>
    <phoneticPr fontId="1" type="noConversion"/>
  </si>
  <si>
    <t>包裹18 D0403864</t>
    <phoneticPr fontId="1" type="noConversion"/>
  </si>
  <si>
    <t>其他B103573-5.3lbs</t>
    <phoneticPr fontId="1" type="noConversion"/>
  </si>
  <si>
    <t>139.92*1.08=</t>
    <phoneticPr fontId="1" type="noConversion"/>
  </si>
  <si>
    <t>8jian</t>
    <phoneticPr fontId="1" type="noConversion"/>
  </si>
  <si>
    <t>car08532002</t>
  </si>
  <si>
    <t>car08532051</t>
  </si>
  <si>
    <t>8/12/2014</t>
    <phoneticPr fontId="1" type="noConversion"/>
  </si>
  <si>
    <t>小蜜缇和加州宝宝</t>
    <phoneticPr fontId="1" type="noConversion"/>
  </si>
  <si>
    <t>Carter's - 第一箱clearence</t>
    <phoneticPr fontId="1" type="noConversion"/>
  </si>
  <si>
    <t>car08532002</t>
    <phoneticPr fontId="1" type="noConversion"/>
  </si>
  <si>
    <t>Carter's - 第二箱</t>
    <phoneticPr fontId="1" type="noConversion"/>
  </si>
  <si>
    <t>car08532051</t>
    <phoneticPr fontId="1" type="noConversion"/>
  </si>
  <si>
    <t>Order Detail - #03359615280100</t>
    <phoneticPr fontId="1" type="noConversion"/>
  </si>
  <si>
    <t>包裹19 #03359615280100</t>
    <phoneticPr fontId="1" type="noConversion"/>
  </si>
  <si>
    <t xml:space="preserve">钱寿涛收，江苏省扬州市高邮市盛丰南苑26-7，邮编：225600，电话：15050750056
</t>
    <phoneticPr fontId="1" type="noConversion"/>
  </si>
  <si>
    <t>Coach包一个,kate spade钱包一个</t>
    <phoneticPr fontId="1" type="noConversion"/>
  </si>
  <si>
    <t>8/13/2014</t>
    <phoneticPr fontId="1" type="noConversion"/>
  </si>
  <si>
    <t>Kate spade 橘黄色钱包</t>
    <phoneticPr fontId="1" type="noConversion"/>
  </si>
  <si>
    <t>分两单寄到，拼单回国</t>
    <phoneticPr fontId="1" type="noConversion"/>
  </si>
  <si>
    <t>邮寄地址：李月收 北京市朝阳区太阳宫新纪家园5号楼207 邮编：100031， 电话：18610966896</t>
    <phoneticPr fontId="1" type="noConversion"/>
  </si>
  <si>
    <t>这单货物较多，请在保证最低运费标准的前提下分成几个小箱寄出，货齐之后讨论如何邮寄，邮寄地址会为多个</t>
    <phoneticPr fontId="1" type="noConversion"/>
  </si>
  <si>
    <r>
      <rPr>
        <b/>
        <sz val="11"/>
        <color rgb="FFFF0000"/>
        <rFont val="宋体"/>
        <family val="3"/>
        <charset val="134"/>
        <scheme val="minor"/>
      </rPr>
      <t>地址1</t>
    </r>
    <r>
      <rPr>
        <sz val="11"/>
        <color theme="1"/>
        <rFont val="宋体"/>
        <family val="2"/>
        <charset val="134"/>
        <scheme val="minor"/>
      </rPr>
      <t>：李月收 北京市朝阳区太阳宫新纪家园5号楼207 邮编：100031， 电话：18610966896</t>
    </r>
    <phoneticPr fontId="1" type="noConversion"/>
  </si>
  <si>
    <t>这些会分3个箱子寄到您的地方，请您先对照单子上的东西收齐货物，然后我再跟你说怎么寄，会寄到多个地址，所以单子先不要填姓名地址</t>
    <phoneticPr fontId="1" type="noConversion"/>
  </si>
  <si>
    <t xml:space="preserve">杨萍，江苏省扬州市高邮市烟雨路康华园内房管局经济适用房，邮编：225600，电话：13952742098
</t>
    <phoneticPr fontId="1" type="noConversion"/>
  </si>
  <si>
    <t>一个kate spade黑色大包</t>
    <phoneticPr fontId="1" type="noConversion"/>
  </si>
  <si>
    <t>8/15/2014</t>
    <phoneticPr fontId="1" type="noConversion"/>
  </si>
  <si>
    <t>Kate Spade黑色大手包一个</t>
    <phoneticPr fontId="1" type="noConversion"/>
  </si>
  <si>
    <t>7/31/2014 B104986 2.6lbs</t>
    <phoneticPr fontId="1" type="noConversion"/>
  </si>
  <si>
    <t>7/30/2014 4.4LBS B103581</t>
    <phoneticPr fontId="1" type="noConversion"/>
  </si>
  <si>
    <t>包裹20 #2085619</t>
    <phoneticPr fontId="1" type="noConversion"/>
  </si>
  <si>
    <t>1ZE13F79P218900450</t>
    <phoneticPr fontId="1" type="noConversion"/>
  </si>
  <si>
    <t>8/18/2014</t>
    <phoneticPr fontId="1" type="noConversion"/>
  </si>
  <si>
    <t>Kate Spade黑色钱包一个</t>
    <phoneticPr fontId="1" type="noConversion"/>
  </si>
  <si>
    <t>#2093849</t>
    <phoneticPr fontId="1" type="noConversion"/>
  </si>
  <si>
    <t>包裹21 #317019</t>
    <phoneticPr fontId="1" type="noConversion"/>
  </si>
  <si>
    <t>8/18/2014</t>
    <phoneticPr fontId="1" type="noConversion"/>
  </si>
  <si>
    <t>一个Coach大包和一个Coach钱包拼单寄回</t>
    <phoneticPr fontId="1" type="noConversion"/>
  </si>
  <si>
    <t>8/20/2014</t>
    <phoneticPr fontId="1" type="noConversion"/>
  </si>
  <si>
    <t>Coach红色手包 F22386</t>
    <phoneticPr fontId="1" type="noConversion"/>
  </si>
  <si>
    <t>Coach红色钱包 F50879</t>
    <phoneticPr fontId="1" type="noConversion"/>
  </si>
  <si>
    <t>包裹22 D0404723</t>
    <phoneticPr fontId="1" type="noConversion"/>
  </si>
  <si>
    <t>Peter Thomson Roth 两套装</t>
    <phoneticPr fontId="1" type="noConversion"/>
  </si>
  <si>
    <t>Peter Thomson Roth 两套装</t>
    <phoneticPr fontId="1" type="noConversion"/>
  </si>
  <si>
    <t>1ZA3R2500377080145</t>
    <phoneticPr fontId="1" type="noConversion"/>
  </si>
  <si>
    <t xml:space="preserve">8/5/2014 3.9lbs HJ010337150US </t>
    <phoneticPr fontId="1" type="noConversion"/>
  </si>
  <si>
    <t>深圳市南山区高新南九道威新软件园7号楼2楼，聂伟，18665889986，邮编:518057</t>
    <phoneticPr fontId="1" type="noConversion"/>
  </si>
  <si>
    <t>8/22/2014</t>
    <phoneticPr fontId="1" type="noConversion"/>
  </si>
  <si>
    <t>Coach 黑色贝壳包 F25671</t>
    <phoneticPr fontId="1" type="noConversion"/>
  </si>
  <si>
    <t>包裹23 D0405450</t>
    <phoneticPr fontId="1" type="noConversion"/>
  </si>
  <si>
    <t>聂伟 深圳市南山区高新南九道威新软件园7号楼2楼，电话：18665889986，邮编:518057</t>
    <phoneticPr fontId="1" type="noConversion"/>
  </si>
  <si>
    <t>包裹24 D0405450</t>
    <phoneticPr fontId="1" type="noConversion"/>
  </si>
  <si>
    <t>#2099499</t>
    <phoneticPr fontId="1" type="noConversion"/>
  </si>
  <si>
    <t>一个黑色Coach贝壳包</t>
    <phoneticPr fontId="1" type="noConversion"/>
  </si>
  <si>
    <t>special office from AMEX（Amazon deduct$20 over $40)</t>
    <phoneticPr fontId="1" type="noConversion"/>
  </si>
  <si>
    <t>special office from AMEX（KS deduct$50 over $200)</t>
    <phoneticPr fontId="1" type="noConversion"/>
  </si>
  <si>
    <t>吴超收 北京市海淀区万泉河路68号院5号楼15层13号，邮编是100086，电话：13811393480</t>
    <phoneticPr fontId="1" type="noConversion"/>
  </si>
  <si>
    <t>吴超 北京市海淀区万泉河路68号院5号楼15层13号，邮编是100086，电话：13811393480</t>
    <phoneticPr fontId="1" type="noConversion"/>
  </si>
  <si>
    <t>Amazon</t>
    <phoneticPr fontId="1" type="noConversion"/>
  </si>
  <si>
    <t>8/23/2014</t>
    <phoneticPr fontId="1" type="noConversion"/>
  </si>
  <si>
    <t>迷你唐卡鞋3双，帽子一顶</t>
    <phoneticPr fontId="1" type="noConversion"/>
  </si>
  <si>
    <t>380RMB shipping fee-clear</t>
    <phoneticPr fontId="1" type="noConversion"/>
  </si>
  <si>
    <t>Coach F31922 红色条纹帆布logo Mini小包</t>
    <phoneticPr fontId="1" type="noConversion"/>
  </si>
  <si>
    <t>Kate Spade青色钱包</t>
    <phoneticPr fontId="1" type="noConversion"/>
  </si>
  <si>
    <t>Schiff Move Free保健品4瓶</t>
    <phoneticPr fontId="1" type="noConversion"/>
  </si>
  <si>
    <t>Bausch&amp;Lomb 护眼保健品2瓶</t>
    <phoneticPr fontId="1" type="noConversion"/>
  </si>
  <si>
    <t>Coach F31922红色条纹帆布logo Mini小包,Kate Spade青色钱包,Schiff Move Free保健品4瓶,Bausch&amp;Lomb 护眼保健品2瓶</t>
    <phoneticPr fontId="1" type="noConversion"/>
  </si>
  <si>
    <t>收到请尽快发货</t>
    <phoneticPr fontId="1" type="noConversion"/>
  </si>
  <si>
    <t>Coach包和一个黑色贝壳包一起到货，还未发货。还有2瓶护眼保健品还未发货</t>
    <phoneticPr fontId="1" type="noConversion"/>
  </si>
  <si>
    <t>give $66 discount</t>
    <phoneticPr fontId="1" type="noConversion"/>
  </si>
  <si>
    <t>7/28/2014 B103572</t>
    <phoneticPr fontId="1" type="noConversion"/>
  </si>
  <si>
    <t>8/27/2014</t>
    <phoneticPr fontId="1" type="noConversion"/>
  </si>
  <si>
    <t>小海鸥男士外套一件军绿</t>
    <phoneticPr fontId="1" type="noConversion"/>
  </si>
  <si>
    <t>小海鸥男士外套一件海军蓝</t>
    <phoneticPr fontId="1" type="noConversion"/>
  </si>
  <si>
    <t>6瓶GNC钙片</t>
    <phoneticPr fontId="1" type="noConversion"/>
  </si>
  <si>
    <t>程娟 深圳市南山区高新南九道威新软件园7号楼2楼，电话18098970360，邮编:518057</t>
    <phoneticPr fontId="1" type="noConversion"/>
  </si>
  <si>
    <t>8/27/2014</t>
    <phoneticPr fontId="1" type="noConversion"/>
  </si>
  <si>
    <t>GNC钙片6瓶</t>
    <phoneticPr fontId="1" type="noConversion"/>
  </si>
  <si>
    <t>包裹26：3637207125</t>
    <phoneticPr fontId="1" type="noConversion"/>
  </si>
  <si>
    <t>小海鸥女士外套一件</t>
    <phoneticPr fontId="1" type="noConversion"/>
  </si>
  <si>
    <t>3双迷你唐卡的女鞋，一顶帽子，两件小海鸥男士外套，一件女士外套</t>
    <phoneticPr fontId="1" type="noConversion"/>
  </si>
  <si>
    <t>9/1/2014</t>
    <phoneticPr fontId="1" type="noConversion"/>
  </si>
  <si>
    <t>Coach黄色手包</t>
    <phoneticPr fontId="1" type="noConversion"/>
  </si>
  <si>
    <t>包裹27 D0407362</t>
    <phoneticPr fontId="1" type="noConversion"/>
  </si>
  <si>
    <t>shipping charge extra $4,ask for ￥252</t>
    <phoneticPr fontId="1" type="noConversion"/>
  </si>
  <si>
    <t>owe 1235RMB shipping fee - clear</t>
    <phoneticPr fontId="1" type="noConversion"/>
  </si>
  <si>
    <t>Coach深棕色大包F26187</t>
    <phoneticPr fontId="1" type="noConversion"/>
  </si>
  <si>
    <t>D0407694</t>
    <phoneticPr fontId="1" type="noConversion"/>
  </si>
  <si>
    <t>8/10/2014 1.1lbs HJ010337217US</t>
    <phoneticPr fontId="1" type="noConversion"/>
  </si>
  <si>
    <t>5&amp;10&amp;12 ship together 6/26/14,B104719,10.85LB=$60</t>
    <phoneticPr fontId="1" type="noConversion"/>
  </si>
  <si>
    <t>运费单独给￥460-clear</t>
    <phoneticPr fontId="1" type="noConversion"/>
  </si>
  <si>
    <t>2个coach包包</t>
    <phoneticPr fontId="1" type="noConversion"/>
  </si>
  <si>
    <t xml:space="preserve">杨萍，江苏省扬州市高邮市烟雨路康华园内房管局经济适用房，邮编：225600，电话：13952742098
</t>
    <phoneticPr fontId="1" type="noConversion"/>
  </si>
  <si>
    <t>ship 6/23 7&amp;8 together 7.8Lb=$48 B104711</t>
    <phoneticPr fontId="1" type="noConversion"/>
  </si>
  <si>
    <t xml:space="preserve">赵丽（北京博雅立方科技有限公司）
北京市朝阳区西坝河南路一号金泰大厦4层 邮编100028 电话15201019833
</t>
    <phoneticPr fontId="1" type="noConversion"/>
  </si>
  <si>
    <t>9/12/2014</t>
    <phoneticPr fontId="1" type="noConversion"/>
  </si>
  <si>
    <t>Coach F50428 ink blue钱包</t>
    <phoneticPr fontId="1" type="noConversion"/>
  </si>
  <si>
    <t>包裹28 D0408758</t>
    <phoneticPr fontId="1" type="noConversion"/>
  </si>
  <si>
    <t>Coach F26184 深咔色贝壳包</t>
    <phoneticPr fontId="1" type="noConversion"/>
  </si>
  <si>
    <t xml:space="preserve">$189 get 10% off </t>
    <phoneticPr fontId="1" type="noConversion"/>
  </si>
  <si>
    <t>9/14/2014</t>
    <phoneticPr fontId="1" type="noConversion"/>
  </si>
  <si>
    <t>AF 军绿色外套</t>
    <phoneticPr fontId="1" type="noConversion"/>
  </si>
  <si>
    <t>5&amp;10&amp;12 ship together 6/26/14,B104719,10.85LB=$60</t>
    <phoneticPr fontId="1" type="noConversion"/>
  </si>
  <si>
    <t>9/17/2014</t>
    <phoneticPr fontId="1" type="noConversion"/>
  </si>
  <si>
    <t>杨毅阿姨的包，小舅带回， total $315.28 - 要$395</t>
    <phoneticPr fontId="1" type="noConversion"/>
  </si>
  <si>
    <t>包裹29 D0409104</t>
    <phoneticPr fontId="1" type="noConversion"/>
  </si>
  <si>
    <t>F49614 钱包</t>
    <phoneticPr fontId="1" type="noConversion"/>
  </si>
  <si>
    <t>Coach F32947 mini小背包</t>
    <phoneticPr fontId="1" type="noConversion"/>
  </si>
  <si>
    <t>F28503 棕色大包</t>
    <phoneticPr fontId="1" type="noConversion"/>
  </si>
  <si>
    <t>杨毅阿姨-小舅带回</t>
    <phoneticPr fontId="1" type="noConversion"/>
  </si>
  <si>
    <t>5&amp;10&amp;12 ship together 6/26/14,B104719,10.85LB=$60</t>
    <phoneticPr fontId="1" type="noConversion"/>
  </si>
  <si>
    <t>7/1/2014 B104291</t>
    <phoneticPr fontId="1" type="noConversion"/>
  </si>
  <si>
    <t>7/2/2014 B104296</t>
    <phoneticPr fontId="1" type="noConversion"/>
  </si>
  <si>
    <t>8/15/14 8lbs B105000</t>
    <phoneticPr fontId="1" type="noConversion"/>
  </si>
  <si>
    <t>第二箱：8/20/2014 4.7lbs B105315</t>
    <phoneticPr fontId="1" type="noConversion"/>
  </si>
  <si>
    <t>8/24/2014 2lbs B105317</t>
    <phoneticPr fontId="1" type="noConversion"/>
  </si>
  <si>
    <t>9/1/2014 3.95lbs B105364</t>
    <phoneticPr fontId="1" type="noConversion"/>
  </si>
  <si>
    <t>9/1/2014 2.4lbs B105365</t>
    <phoneticPr fontId="1" type="noConversion"/>
  </si>
  <si>
    <t>9/1/2014 5.7lbs B105366</t>
    <phoneticPr fontId="1" type="noConversion"/>
  </si>
  <si>
    <t>苏莉 北京市西城区小马厂路1号院3号楼西豪逸景B-1610，100055，电话13601316494</t>
    <phoneticPr fontId="1" type="noConversion"/>
  </si>
  <si>
    <t>8/18/2014 3.45LBS B105006</t>
    <phoneticPr fontId="1" type="noConversion"/>
  </si>
  <si>
    <t>赵丽,北京市朝阳区北辰西路8号北辰世纪中心A座2层,电话15201019833 邮编:100101</t>
    <phoneticPr fontId="1" type="noConversion"/>
  </si>
  <si>
    <t>第一箱：8/18/2014 6.8lbs B105010</t>
    <phoneticPr fontId="1" type="noConversion"/>
  </si>
  <si>
    <t>F33447 白色大包</t>
    <phoneticPr fontId="1" type="noConversion"/>
  </si>
  <si>
    <t>F50430 蓝色挎包</t>
    <phoneticPr fontId="1" type="noConversion"/>
  </si>
  <si>
    <t>9/22/2014</t>
    <phoneticPr fontId="1" type="noConversion"/>
  </si>
  <si>
    <t>$478原价，50% off再30% off，仅50%</t>
    <phoneticPr fontId="1" type="noConversion"/>
  </si>
  <si>
    <t>9/1/2014 5.85LBS B105367 - 迷你唐卡</t>
    <phoneticPr fontId="1" type="noConversion"/>
  </si>
  <si>
    <t>Hollister - 3.2lbs - 9/4/2014 B105373</t>
    <phoneticPr fontId="1" type="noConversion"/>
  </si>
  <si>
    <t>9/4/2014-4.85lbs-B105377</t>
    <phoneticPr fontId="1" type="noConversion"/>
  </si>
  <si>
    <t>杨盼，手机号码：15052579988，地址：江苏省高邮市瑞和阳光城一期百合苑2幢4号，邮编：225600</t>
  </si>
  <si>
    <t>杨盼，手机号码：15052579988，地址：江苏省高邮市瑞和阳光城一期百合苑2幢4号，邮编：225600</t>
    <phoneticPr fontId="1" type="noConversion"/>
  </si>
  <si>
    <t>9/10/2014 4.3lbs B105332</t>
    <phoneticPr fontId="1" type="noConversion"/>
  </si>
  <si>
    <t>give $77.45 VIP discount</t>
    <phoneticPr fontId="1" type="noConversion"/>
  </si>
  <si>
    <r>
      <t xml:space="preserve">8/18/14 4.45LBS </t>
    </r>
    <r>
      <rPr>
        <sz val="11"/>
        <rFont val="宋体"/>
        <family val="3"/>
        <charset val="134"/>
        <scheme val="minor"/>
      </rPr>
      <t>B105007</t>
    </r>
    <phoneticPr fontId="1" type="noConversion"/>
  </si>
  <si>
    <r>
      <t>8/20/14 B105310，B105309，B105311，B105312，B105313，</t>
    </r>
    <r>
      <rPr>
        <sz val="11"/>
        <rFont val="宋体"/>
        <family val="3"/>
        <charset val="134"/>
        <scheme val="minor"/>
      </rPr>
      <t>B105314</t>
    </r>
    <phoneticPr fontId="1" type="noConversion"/>
  </si>
  <si>
    <t>9/4/2014 4.1lbs B105374</t>
    <phoneticPr fontId="1" type="noConversion"/>
  </si>
  <si>
    <t>包裹25中寄回美国退货，新买的一件重新寄</t>
    <phoneticPr fontId="1" type="noConversion"/>
  </si>
  <si>
    <t>包裹25（衣服单独寄） E3598875</t>
    <phoneticPr fontId="1" type="noConversion"/>
  </si>
  <si>
    <t>8/18/2014 3.9lbs B105008</t>
    <phoneticPr fontId="1" type="noConversion"/>
  </si>
  <si>
    <t>包裹30 9627139</t>
    <phoneticPr fontId="1" type="noConversion"/>
  </si>
  <si>
    <t>UGG棕色靴子1双</t>
    <phoneticPr fontId="1" type="noConversion"/>
  </si>
  <si>
    <t>b1294053060</t>
    <phoneticPr fontId="1" type="noConversion"/>
  </si>
  <si>
    <t>始祖鸟2件t恤</t>
    <phoneticPr fontId="1" type="noConversion"/>
  </si>
  <si>
    <t>10/5/2014</t>
    <phoneticPr fontId="1" type="noConversion"/>
  </si>
  <si>
    <t>9/20/2014 2.8lbs B105408</t>
    <phoneticPr fontId="1" type="noConversion"/>
  </si>
  <si>
    <t>Lee牛仔裤4条</t>
    <phoneticPr fontId="1" type="noConversion"/>
  </si>
  <si>
    <t>Levis女士牛仔裤3条</t>
    <phoneticPr fontId="1" type="noConversion"/>
  </si>
  <si>
    <t>10/7/2014</t>
    <phoneticPr fontId="1" type="noConversion"/>
  </si>
  <si>
    <t>包裹31 car09474901</t>
    <phoneticPr fontId="1" type="noConversion"/>
  </si>
  <si>
    <t> 04108576</t>
    <phoneticPr fontId="1" type="noConversion"/>
  </si>
  <si>
    <t>Columbia宝宝衣服 - 2件</t>
    <phoneticPr fontId="1" type="noConversion"/>
  </si>
  <si>
    <t>包裹32 #03364785515500</t>
    <phoneticPr fontId="1" type="noConversion"/>
  </si>
  <si>
    <t>114-5240092-5345039</t>
    <phoneticPr fontId="1" type="noConversion"/>
  </si>
  <si>
    <t>加州宝宝金盏花洗浴 - 5瓶 - 19oz</t>
    <phoneticPr fontId="1" type="noConversion"/>
  </si>
  <si>
    <t>10/12/2014</t>
    <phoneticPr fontId="1" type="noConversion"/>
  </si>
  <si>
    <t>10/19/2014</t>
    <phoneticPr fontId="1" type="noConversion"/>
  </si>
  <si>
    <t>在outlet买</t>
    <phoneticPr fontId="1" type="noConversion"/>
  </si>
  <si>
    <t>运费单独给￥590-clear</t>
    <phoneticPr fontId="1" type="noConversion"/>
  </si>
  <si>
    <t>10/20/2014</t>
    <phoneticPr fontId="1" type="noConversion"/>
  </si>
  <si>
    <t>MK大号耳朵包Selma Large apple green</t>
    <phoneticPr fontId="1" type="noConversion"/>
  </si>
  <si>
    <r>
      <t>包裹</t>
    </r>
    <r>
      <rPr>
        <sz val="11"/>
        <rFont val="宋体"/>
        <family val="2"/>
        <scheme val="minor"/>
      </rPr>
      <t xml:space="preserve">33 </t>
    </r>
    <r>
      <rPr>
        <sz val="11"/>
        <rFont val="宋体"/>
        <family val="2"/>
        <charset val="134"/>
        <scheme val="minor"/>
      </rPr>
      <t>Order number:</t>
    </r>
    <r>
      <rPr>
        <sz val="11"/>
        <rFont val="Arial"/>
        <family val="2"/>
      </rPr>
      <t>1064084499</t>
    </r>
    <phoneticPr fontId="1" type="noConversion"/>
  </si>
  <si>
    <t>许新叶 重庆市江津区江津中学地理组 电话：13508396330 邮编：402260</t>
    <phoneticPr fontId="1" type="noConversion"/>
  </si>
  <si>
    <t>在outlet买</t>
    <phoneticPr fontId="1" type="noConversion"/>
  </si>
  <si>
    <t>包裹34，554780821</t>
    <phoneticPr fontId="1" type="noConversion"/>
  </si>
  <si>
    <t>10/22/2014</t>
    <phoneticPr fontId="1" type="noConversion"/>
  </si>
  <si>
    <t>F24603 玫红色大包 有C标</t>
    <phoneticPr fontId="1" type="noConversion"/>
  </si>
  <si>
    <t>D0414252</t>
    <phoneticPr fontId="1" type="noConversion"/>
  </si>
  <si>
    <t>包裹35 D0414252</t>
    <phoneticPr fontId="1" type="noConversion"/>
  </si>
  <si>
    <t>25% off 3 items 用usps，运费单独算$42.78=￥270-clear</t>
    <phoneticPr fontId="1" type="noConversion"/>
  </si>
  <si>
    <t>李京收，北京市海淀区上庄镇翠湖湿地公园管理处北门，100194，13810221816</t>
    <phoneticPr fontId="1" type="noConversion"/>
  </si>
  <si>
    <t>car09807811</t>
    <phoneticPr fontId="1" type="noConversion"/>
  </si>
  <si>
    <t>包裹36 在outlet买</t>
    <phoneticPr fontId="1" type="noConversion"/>
  </si>
  <si>
    <t>包裹37：114-0483593-3356214</t>
    <phoneticPr fontId="1" type="noConversion"/>
  </si>
  <si>
    <t>ＧＮＣ钙片一瓶</t>
    <phoneticPr fontId="1" type="noConversion"/>
  </si>
  <si>
    <t>ＧＮＣ钙片一瓶 赠送品</t>
    <phoneticPr fontId="1" type="noConversion"/>
  </si>
  <si>
    <t>买一送一，给嫂子寄回，包裹36</t>
    <phoneticPr fontId="1" type="noConversion"/>
  </si>
  <si>
    <t>usps邮寄9/22及10/19outlet买的包到运输公司（2个大包，一个小挎包，一个钱包），$17.33</t>
    <phoneticPr fontId="1" type="noConversion"/>
  </si>
  <si>
    <t>F33447 棕色大包</t>
    <phoneticPr fontId="1" type="noConversion"/>
  </si>
  <si>
    <t>F49350 紫色钱包</t>
    <phoneticPr fontId="1" type="noConversion"/>
  </si>
  <si>
    <t xml:space="preserve">王琦收，江苏省扬州市高邮市文游中路168号，招商银行高邮支行，邮编：225600，电话：15050750056
</t>
    <phoneticPr fontId="1" type="noConversion"/>
  </si>
  <si>
    <t>Coach红色大C包 F28728</t>
    <phoneticPr fontId="1" type="noConversion"/>
  </si>
  <si>
    <t>Coach暗红色小包 F52177</t>
    <phoneticPr fontId="1" type="noConversion"/>
  </si>
  <si>
    <t>杨盼，手机号码：15052579988，地址：江苏省高邮市瑞和阳光城一期百合苑2幢4号，邮编：225600</t>
    <phoneticPr fontId="1" type="noConversion"/>
  </si>
  <si>
    <t>Coach F74764男士钱包</t>
    <phoneticPr fontId="1" type="noConversion"/>
  </si>
  <si>
    <t>Carter's一双男孩小靴子</t>
    <phoneticPr fontId="1" type="noConversion"/>
  </si>
  <si>
    <t>Carter's一双女孩小靴子</t>
    <phoneticPr fontId="1" type="noConversion"/>
  </si>
  <si>
    <t>Carter's两件衣服</t>
    <phoneticPr fontId="1" type="noConversion"/>
  </si>
  <si>
    <t>Amazon-D drop 2瓶</t>
    <phoneticPr fontId="1" type="noConversion"/>
  </si>
  <si>
    <t>加州宝宝洗浴二合一</t>
    <phoneticPr fontId="1" type="noConversion"/>
  </si>
  <si>
    <t>核桃油 walnut oil</t>
    <phoneticPr fontId="1" type="noConversion"/>
  </si>
  <si>
    <t>加州宝宝桉树油</t>
    <phoneticPr fontId="1" type="noConversion"/>
  </si>
  <si>
    <t>Costco两台blender</t>
    <phoneticPr fontId="1" type="noConversion"/>
  </si>
  <si>
    <t>吴婷收，北京市西城区红莲南路6号院乐城小区6号楼一单元1604，邮编100055 电话13811385521或18610488720</t>
    <phoneticPr fontId="1" type="noConversion"/>
  </si>
  <si>
    <t>孙天香收 北京市朝阳区西大望路甲１２号主楼ＡＢ栋二层，邮编100124，电话：13311151110</t>
    <phoneticPr fontId="1" type="noConversion"/>
  </si>
  <si>
    <t>10/10/2014 B105337,B105461,B105343</t>
    <phoneticPr fontId="1" type="noConversion"/>
  </si>
  <si>
    <t>10/16/2014 3lbs B105283</t>
    <phoneticPr fontId="1" type="noConversion"/>
  </si>
  <si>
    <t>10/25/2014</t>
    <phoneticPr fontId="1" type="noConversion"/>
  </si>
  <si>
    <t>Coach男包-皮的，黑色</t>
    <phoneticPr fontId="1" type="noConversion"/>
  </si>
  <si>
    <t>杨亚波收，江苏省扬州高邮市海潮东路308号联通公司，邮编：225600，手机：15651049007</t>
    <phoneticPr fontId="1" type="noConversion"/>
  </si>
  <si>
    <t>10/16/2014 7.4lbs per box *2 B105521 B105523</t>
    <phoneticPr fontId="1" type="noConversion"/>
  </si>
  <si>
    <t>10/27/2014</t>
    <phoneticPr fontId="1" type="noConversion"/>
  </si>
  <si>
    <t>GNC Triflex fast-acting(240粒）14瓶</t>
    <phoneticPr fontId="1" type="noConversion"/>
  </si>
  <si>
    <t>包裹38：3599670656</t>
    <phoneticPr fontId="1" type="noConversion"/>
  </si>
  <si>
    <t>4瓶</t>
    <phoneticPr fontId="1" type="noConversion"/>
  </si>
  <si>
    <t>包裹39：3600181316</t>
    <phoneticPr fontId="1" type="noConversion"/>
  </si>
  <si>
    <t>Total</t>
    <phoneticPr fontId="1" type="noConversion"/>
  </si>
  <si>
    <t>GNC Hunger Support*2</t>
    <phoneticPr fontId="1" type="noConversion"/>
  </si>
  <si>
    <t>GNC Milestone Kids *2</t>
    <phoneticPr fontId="1" type="noConversion"/>
  </si>
  <si>
    <t>GNC Chromium *4</t>
    <phoneticPr fontId="1" type="noConversion"/>
  </si>
  <si>
    <t>运费单独给 ￥700-clear-$108 total, get extra $2</t>
    <phoneticPr fontId="1" type="noConversion"/>
  </si>
  <si>
    <t>Coach F34291暗红色女士皮包</t>
    <phoneticPr fontId="1" type="noConversion"/>
  </si>
  <si>
    <t>和67中女包一起usps给运输公司$11.07</t>
    <phoneticPr fontId="1" type="noConversion"/>
  </si>
  <si>
    <t>运费单独给 $120-￥762每台=￥1525-clear</t>
    <phoneticPr fontId="1" type="noConversion"/>
  </si>
  <si>
    <t>运费单独给 加了$2 usps,共￥165-clear</t>
    <phoneticPr fontId="1" type="noConversion"/>
  </si>
  <si>
    <t>Carter's宝宝衣服 - 6件</t>
    <phoneticPr fontId="1" type="noConversion"/>
  </si>
  <si>
    <t>11/5/2014,6.8lbs 保险$200，B105294</t>
    <phoneticPr fontId="1" type="noConversion"/>
  </si>
  <si>
    <t>5个-每个10.59刀</t>
    <phoneticPr fontId="1" type="noConversion"/>
  </si>
  <si>
    <t>11/3/2014</t>
    <phoneticPr fontId="1" type="noConversion"/>
  </si>
  <si>
    <t>加州宝宝Diaper Rash Cream - therap relief 5瓶</t>
    <phoneticPr fontId="1" type="noConversion"/>
  </si>
  <si>
    <t>加州宝宝Diaper Rash Cream - Super Sensitive 5瓶</t>
    <phoneticPr fontId="1" type="noConversion"/>
  </si>
  <si>
    <t>#03366824315500 drugstore买</t>
    <phoneticPr fontId="1" type="noConversion"/>
  </si>
  <si>
    <t>加州宝宝Diaper Rash Tube - 3个一组，3组</t>
    <phoneticPr fontId="1" type="noConversion"/>
  </si>
  <si>
    <t>加州宝宝金盏花洗浴二合一 3瓶</t>
    <phoneticPr fontId="1" type="noConversion"/>
  </si>
  <si>
    <r>
      <t xml:space="preserve">114-5690278-3969837 amazon </t>
    </r>
    <r>
      <rPr>
        <b/>
        <sz val="8"/>
        <color rgb="FF333333"/>
        <rFont val="宋体"/>
        <family val="3"/>
        <charset val="134"/>
      </rPr>
      <t>买</t>
    </r>
    <phoneticPr fontId="1" type="noConversion"/>
  </si>
  <si>
    <t>Thermos FOOGO Phases Stainless Steel Straw Bottle 10个</t>
    <phoneticPr fontId="1" type="noConversion"/>
  </si>
  <si>
    <t>114-7670257-8081038 amazon 买</t>
    <phoneticPr fontId="1" type="noConversion"/>
  </si>
  <si>
    <t>114-6172481-7113849 &amp; 114-9784841-3349058amazon 买</t>
    <phoneticPr fontId="1" type="noConversion"/>
  </si>
  <si>
    <t>10/25/2014 B105287 3.15lbs</t>
    <phoneticPr fontId="1" type="noConversion"/>
  </si>
  <si>
    <t>3M口罩，80个一包，2个一包的20包，20个一包</t>
    <phoneticPr fontId="1" type="noConversion"/>
  </si>
  <si>
    <t>包裹40 #102013855116 target官网买</t>
    <phoneticPr fontId="1" type="noConversion"/>
  </si>
  <si>
    <t>包裹41 100031322</t>
    <phoneticPr fontId="1" type="noConversion"/>
  </si>
  <si>
    <t>11/11/2014</t>
    <phoneticPr fontId="1" type="noConversion"/>
  </si>
  <si>
    <t>10/30/2014 B105557 B105543 19.85lbs一个</t>
    <phoneticPr fontId="1" type="noConversion"/>
  </si>
  <si>
    <t>11/5/2014,2.1lbs-B105302</t>
    <phoneticPr fontId="1" type="noConversion"/>
  </si>
  <si>
    <t xml:space="preserve">11/12/14 B105507 B105487 B105508 </t>
    <phoneticPr fontId="1" type="noConversion"/>
  </si>
  <si>
    <t>GlamGlow补水发光面膜2个（买一送一）</t>
    <phoneticPr fontId="1" type="noConversion"/>
  </si>
  <si>
    <t>聂伟 深圳市南山区高新南九道威新软件园7号楼2楼，电话：18665889986，邮编:518057</t>
    <phoneticPr fontId="1" type="noConversion"/>
  </si>
  <si>
    <t>运费单独给-￥420，多给$1-clear</t>
    <phoneticPr fontId="1" type="noConversion"/>
  </si>
  <si>
    <t>运费单独给-￥890,多要$2-clear</t>
    <phoneticPr fontId="1" type="noConversion"/>
  </si>
  <si>
    <t>10/30/2014 5.4lbs B105553</t>
    <phoneticPr fontId="1" type="noConversion"/>
  </si>
  <si>
    <t>10/30/2014 2.5lbs B105554</t>
    <phoneticPr fontId="1" type="noConversion"/>
  </si>
  <si>
    <t xml:space="preserve">10/30/2014 3.8lbs B105552 </t>
    <phoneticPr fontId="1" type="noConversion"/>
  </si>
  <si>
    <t>10/30/2014 4.95lbs B105555</t>
    <phoneticPr fontId="1" type="noConversion"/>
  </si>
  <si>
    <r>
      <t xml:space="preserve">10/31/2014 6瓶5.4lbs-B105545 </t>
    </r>
    <r>
      <rPr>
        <sz val="11"/>
        <rFont val="宋体"/>
        <family val="3"/>
        <charset val="134"/>
        <scheme val="minor"/>
      </rPr>
      <t>8瓶7.3lbs-B105544</t>
    </r>
    <phoneticPr fontId="1" type="noConversion"/>
  </si>
  <si>
    <t>1ZE286940307637353</t>
    <phoneticPr fontId="1" type="noConversion"/>
  </si>
  <si>
    <t>1Z98A65EP208680130（kate spade钱包），9405511899561358563704（4瓶），</t>
    <phoneticPr fontId="1" type="noConversion"/>
  </si>
  <si>
    <t>1ZA47Y780317451646</t>
    <phoneticPr fontId="1" type="noConversion"/>
  </si>
  <si>
    <t>包裹42 W107799416</t>
    <phoneticPr fontId="1" type="noConversion"/>
  </si>
  <si>
    <t>11/26/2014</t>
    <phoneticPr fontId="1" type="noConversion"/>
  </si>
  <si>
    <t>Coach F32829 - Mini升级波士顿 - black</t>
    <phoneticPr fontId="1" type="noConversion"/>
  </si>
  <si>
    <t>Coach004</t>
    <phoneticPr fontId="1" type="noConversion"/>
  </si>
  <si>
    <t>黑五</t>
    <phoneticPr fontId="1" type="noConversion"/>
  </si>
  <si>
    <t xml:space="preserve">Coach F26184 - Coach 深棕色贝壳 </t>
    <phoneticPr fontId="1" type="noConversion"/>
  </si>
  <si>
    <t>Coach002</t>
    <phoneticPr fontId="1" type="noConversion"/>
  </si>
  <si>
    <t>MK鹅黄色大号travel tote</t>
    <phoneticPr fontId="1" type="noConversion"/>
  </si>
  <si>
    <t>MK001</t>
    <phoneticPr fontId="1" type="noConversion"/>
  </si>
  <si>
    <t>MK鹅黄色小cardcase</t>
    <phoneticPr fontId="1" type="noConversion"/>
  </si>
  <si>
    <t>MK中号贝壳包-黑色</t>
    <phoneticPr fontId="1" type="noConversion"/>
  </si>
  <si>
    <t>Coach F33806 - 暗红色大皮包</t>
    <phoneticPr fontId="1" type="noConversion"/>
  </si>
  <si>
    <t>Coach003</t>
    <phoneticPr fontId="1" type="noConversion"/>
  </si>
  <si>
    <t>KS003</t>
    <phoneticPr fontId="1" type="noConversion"/>
  </si>
  <si>
    <t>KS007</t>
    <phoneticPr fontId="1" type="noConversion"/>
  </si>
  <si>
    <t>KS小贝壳-黑白拼接</t>
    <phoneticPr fontId="1" type="noConversion"/>
  </si>
  <si>
    <t>KS006</t>
    <phoneticPr fontId="1" type="noConversion"/>
  </si>
  <si>
    <t>Coach小号贝壳 F32584</t>
    <phoneticPr fontId="1" type="noConversion"/>
  </si>
  <si>
    <t>Coach001</t>
    <phoneticPr fontId="1" type="noConversion"/>
  </si>
  <si>
    <t>KS008</t>
    <phoneticPr fontId="1" type="noConversion"/>
  </si>
  <si>
    <t>KS001</t>
    <phoneticPr fontId="1" type="noConversion"/>
  </si>
  <si>
    <t>KS002</t>
    <phoneticPr fontId="1" type="noConversion"/>
  </si>
  <si>
    <t>KS004</t>
    <phoneticPr fontId="1" type="noConversion"/>
  </si>
  <si>
    <t>CoachF28365 - 大包有logo</t>
    <phoneticPr fontId="1" type="noConversion"/>
  </si>
  <si>
    <t>Coach005</t>
    <phoneticPr fontId="1" type="noConversion"/>
  </si>
  <si>
    <t>KS005</t>
    <phoneticPr fontId="1" type="noConversion"/>
  </si>
  <si>
    <t>KS Small Rachelle 098689731803 黑白贝壳</t>
    <phoneticPr fontId="1" type="noConversion"/>
  </si>
  <si>
    <t>运费单独给，加usps的$5.5,记得从65中减去,共￥340-clear</t>
    <phoneticPr fontId="1" type="noConversion"/>
  </si>
  <si>
    <t>Coach F31744 - 黑色大升级波士顿</t>
    <phoneticPr fontId="1" type="noConversion"/>
  </si>
  <si>
    <t>刘爽-“常想二三”-张颖，北京市东城区体育馆路7号，邮局二层，邮编：100061，电话：13810206765</t>
    <phoneticPr fontId="1" type="noConversion"/>
  </si>
  <si>
    <t>KS黑色小波士顿-mini cassif-098689796338</t>
    <phoneticPr fontId="1" type="noConversion"/>
  </si>
  <si>
    <t>KS红色中号贝壳包-small rachelle-098689795348</t>
    <phoneticPr fontId="1" type="noConversion"/>
  </si>
  <si>
    <t>Tory Burch york combo crossbody-41149716</t>
    <phoneticPr fontId="1" type="noConversion"/>
  </si>
  <si>
    <t>Tory Burch Robinson multi wallet-41149412</t>
    <phoneticPr fontId="1" type="noConversion"/>
  </si>
  <si>
    <t>package8</t>
    <phoneticPr fontId="1" type="noConversion"/>
  </si>
  <si>
    <t>package9</t>
    <phoneticPr fontId="1" type="noConversion"/>
  </si>
  <si>
    <t>package7</t>
    <phoneticPr fontId="1" type="noConversion"/>
  </si>
  <si>
    <t>2个Kiehl's眼霜</t>
    <phoneticPr fontId="1" type="noConversion"/>
  </si>
  <si>
    <t>放包里</t>
    <phoneticPr fontId="1" type="noConversion"/>
  </si>
  <si>
    <t>1个Kiehl's眼霜</t>
    <phoneticPr fontId="1" type="noConversion"/>
  </si>
  <si>
    <t>Coach F31844 - 小红皮包</t>
    <phoneticPr fontId="1" type="noConversion"/>
  </si>
  <si>
    <t>Coach006</t>
    <phoneticPr fontId="1" type="noConversion"/>
  </si>
  <si>
    <t>KS009</t>
    <phoneticPr fontId="1" type="noConversion"/>
  </si>
  <si>
    <t>KS010</t>
    <phoneticPr fontId="1" type="noConversion"/>
  </si>
  <si>
    <t>2个Kiehl's高效保湿霜</t>
    <phoneticPr fontId="1" type="noConversion"/>
  </si>
  <si>
    <t>KS011</t>
    <phoneticPr fontId="1" type="noConversion"/>
  </si>
  <si>
    <t>KS012</t>
    <phoneticPr fontId="1" type="noConversion"/>
  </si>
  <si>
    <t>KS013</t>
    <phoneticPr fontId="1" type="noConversion"/>
  </si>
  <si>
    <t>KS中号黑色软皮贝壳-small rachelle-098689765310</t>
    <phoneticPr fontId="1" type="noConversion"/>
  </si>
  <si>
    <t>package3</t>
    <phoneticPr fontId="1" type="noConversion"/>
  </si>
  <si>
    <t>吴超 刘畅收，北京市朝阳区望京东路6号施耐德电气大厦5层，电话：18515317365，邮编：100102</t>
    <phoneticPr fontId="1" type="noConversion"/>
  </si>
  <si>
    <t>刘畅收，北京市朝阳区望京东路6号施耐德电气大厦5层，电话：18515317365，邮编：100102</t>
    <phoneticPr fontId="1" type="noConversion"/>
  </si>
  <si>
    <t>芦丹-李爽 李爽收， 中国北京经济技术开发区经海一路118号， 邮编100176， 电话：15210178751</t>
    <phoneticPr fontId="1" type="noConversion"/>
  </si>
  <si>
    <t>KIM-绿萝 孙威收，北京市石景山区金顶街五区1号金顶街街道办事处404房间, 邮编100041，电话：13601155113，88712029</t>
    <phoneticPr fontId="1" type="noConversion"/>
  </si>
  <si>
    <t>KIM 孙威收，北京市石景山区金顶街五区1号金顶街街道办事处404房间, 邮编100041，电话：13601155113，88712029</t>
    <phoneticPr fontId="1" type="noConversion"/>
  </si>
  <si>
    <t>Coach 黑色蝴蝶结短钱包 F51671</t>
    <phoneticPr fontId="1" type="noConversion"/>
  </si>
  <si>
    <t>D0420161</t>
    <phoneticPr fontId="1" type="noConversion"/>
  </si>
  <si>
    <t>芦丹收， 中国北京经济技术开发区经海一路118号， 邮编100176， 电话：15810533119</t>
    <phoneticPr fontId="1" type="noConversion"/>
  </si>
  <si>
    <t>package13</t>
    <phoneticPr fontId="1" type="noConversion"/>
  </si>
  <si>
    <t>package1</t>
    <phoneticPr fontId="1" type="noConversion"/>
  </si>
  <si>
    <t>package2</t>
    <phoneticPr fontId="1" type="noConversion"/>
  </si>
  <si>
    <t>package12</t>
    <phoneticPr fontId="1" type="noConversion"/>
  </si>
  <si>
    <t>package6</t>
    <phoneticPr fontId="1" type="noConversion"/>
  </si>
  <si>
    <r>
      <t>芦丹收，</t>
    </r>
    <r>
      <rPr>
        <sz val="10.5"/>
        <rFont val="Calibri"/>
        <family val="2"/>
      </rPr>
      <t xml:space="preserve"> </t>
    </r>
    <r>
      <rPr>
        <sz val="10.5"/>
        <rFont val="宋体"/>
        <family val="3"/>
        <charset val="134"/>
        <scheme val="minor"/>
      </rPr>
      <t>中国北京经济技术开发区经海一路</t>
    </r>
    <r>
      <rPr>
        <sz val="10.5"/>
        <rFont val="Calibri"/>
        <family val="2"/>
      </rPr>
      <t>118</t>
    </r>
    <r>
      <rPr>
        <sz val="10.5"/>
        <rFont val="宋体"/>
        <family val="3"/>
        <charset val="134"/>
        <scheme val="minor"/>
      </rPr>
      <t>号，</t>
    </r>
    <r>
      <rPr>
        <sz val="10.5"/>
        <rFont val="Calibri"/>
        <family val="2"/>
      </rPr>
      <t xml:space="preserve"> </t>
    </r>
    <r>
      <rPr>
        <sz val="10.5"/>
        <rFont val="宋体"/>
        <family val="3"/>
        <charset val="134"/>
        <scheme val="minor"/>
      </rPr>
      <t>邮编</t>
    </r>
    <r>
      <rPr>
        <sz val="10.5"/>
        <rFont val="Calibri"/>
        <family val="2"/>
      </rPr>
      <t>100176</t>
    </r>
    <r>
      <rPr>
        <sz val="10.5"/>
        <rFont val="宋体"/>
        <family val="3"/>
        <charset val="134"/>
        <scheme val="minor"/>
      </rPr>
      <t>，</t>
    </r>
    <r>
      <rPr>
        <sz val="10.5"/>
        <rFont val="Calibri"/>
        <family val="2"/>
      </rPr>
      <t xml:space="preserve"> </t>
    </r>
    <r>
      <rPr>
        <sz val="10.5"/>
        <rFont val="宋体"/>
        <family val="3"/>
        <charset val="134"/>
        <scheme val="minor"/>
      </rPr>
      <t>电话：</t>
    </r>
    <r>
      <rPr>
        <sz val="10.5"/>
        <rFont val="宋体"/>
        <family val="2"/>
        <scheme val="minor"/>
      </rPr>
      <t>15810533119</t>
    </r>
    <phoneticPr fontId="1" type="noConversion"/>
  </si>
  <si>
    <t>附赠一个倩碧小样</t>
    <phoneticPr fontId="1" type="noConversion"/>
  </si>
  <si>
    <t xml:space="preserve">猪婆同事-奚玲收，江苏省南京市汉中路140号南京医科大学2号楼428代谢疾病中心，邮编：210000，电话：15195969619
</t>
    <phoneticPr fontId="1" type="noConversion"/>
  </si>
  <si>
    <t>Me-黄海昕收，江苏省扬州市江阳中路433号南京银行扬州分行，邮编：225009，电话：18952725500</t>
    <phoneticPr fontId="1" type="noConversion"/>
  </si>
  <si>
    <t>Me同事-黄海昕收，江苏省扬州市江阳中路433号南京银行扬州分行，邮编：225009，电话：18952725500</t>
    <phoneticPr fontId="1" type="noConversion"/>
  </si>
  <si>
    <t>package10</t>
    <phoneticPr fontId="1" type="noConversion"/>
  </si>
  <si>
    <t>package5</t>
    <phoneticPr fontId="1" type="noConversion"/>
  </si>
  <si>
    <t>package4</t>
    <phoneticPr fontId="1" type="noConversion"/>
  </si>
  <si>
    <t>package11</t>
    <phoneticPr fontId="1" type="noConversion"/>
  </si>
  <si>
    <t>Ami-蔡维收，北京市海淀区清河小营东路7号，2号楼3门402，邮编：100192 电话：13810053101</t>
    <phoneticPr fontId="1" type="noConversion"/>
  </si>
  <si>
    <t>KS中号黑色皮包-small quinn-098689766430</t>
    <phoneticPr fontId="1" type="noConversion"/>
  </si>
  <si>
    <t>package14</t>
    <phoneticPr fontId="1" type="noConversion"/>
  </si>
  <si>
    <t>包裹43-780782702-online</t>
    <phoneticPr fontId="1" type="noConversion"/>
  </si>
  <si>
    <t>包裹43</t>
    <phoneticPr fontId="1" type="noConversion"/>
  </si>
  <si>
    <t>刘爽-“知冷知热知心人”-李洁，北京市东城区体育馆路7号，邮局二层，邮编：100061，电话：13810206765</t>
    <phoneticPr fontId="1" type="noConversion"/>
  </si>
  <si>
    <t>刘爽-“闹闹”，北京市东城区体育馆路7号，邮局二层，邮编：100061，电话：13810206765</t>
    <phoneticPr fontId="1" type="noConversion"/>
  </si>
  <si>
    <t>刘爽-“Coral”，北京市东城区体育馆路7号，邮局二层，邮编：100061，电话：13810206765</t>
    <phoneticPr fontId="1" type="noConversion"/>
  </si>
  <si>
    <t>刘爽-“闹闹”北京市东城区体育馆路7号，邮局二层，邮编：100061，电话：13810206765</t>
    <phoneticPr fontId="1" type="noConversion"/>
  </si>
  <si>
    <t>Tory Burch Amanda Classic Hobo黑色大包</t>
    <phoneticPr fontId="1" type="noConversion"/>
  </si>
  <si>
    <t>Tory Burch Marion Wallet-银色</t>
    <phoneticPr fontId="1" type="noConversion"/>
  </si>
  <si>
    <t>package6-包裹44</t>
    <phoneticPr fontId="1" type="noConversion"/>
  </si>
  <si>
    <t>Coach F71168男士slim zip top brief公文包</t>
    <phoneticPr fontId="1" type="noConversion"/>
  </si>
  <si>
    <t>包裹44</t>
    <phoneticPr fontId="1" type="noConversion"/>
  </si>
  <si>
    <t>包裹44-D0420161</t>
    <phoneticPr fontId="1" type="noConversion"/>
  </si>
  <si>
    <t>Coach F74396 男士钱包 Double Billfold Wallet</t>
    <phoneticPr fontId="1" type="noConversion"/>
  </si>
  <si>
    <t>11/16/14 B105577</t>
    <phoneticPr fontId="1" type="noConversion"/>
  </si>
  <si>
    <r>
      <t xml:space="preserve">11/08/14 </t>
    </r>
    <r>
      <rPr>
        <sz val="11"/>
        <rFont val="宋体"/>
        <family val="3"/>
        <charset val="134"/>
        <scheme val="minor"/>
      </rPr>
      <t>B105262</t>
    </r>
    <phoneticPr fontId="1" type="noConversion"/>
  </si>
  <si>
    <t>黄海昕收，江苏省扬州市江阳中路433号南京银行扬州分行，邮编：225009，电话：18952725500</t>
    <phoneticPr fontId="1" type="noConversion"/>
  </si>
  <si>
    <t>Bose QuietComfort® 3 Acoustic Noise Cancelling® headphones耳机</t>
    <phoneticPr fontId="1" type="noConversion"/>
  </si>
  <si>
    <t>11/20/2014 1.6lbs B105583</t>
    <phoneticPr fontId="1" type="noConversion"/>
  </si>
  <si>
    <t>刘爽，北京市东城区体育馆路7号，邮局二层，邮编：100061，电话：13810206765</t>
    <phoneticPr fontId="1" type="noConversion"/>
  </si>
  <si>
    <t>Coach001</t>
    <phoneticPr fontId="1" type="noConversion"/>
  </si>
  <si>
    <t>Coach F31844 小红皮包</t>
    <phoneticPr fontId="1" type="noConversion"/>
  </si>
  <si>
    <t>package1</t>
    <phoneticPr fontId="1" type="noConversion"/>
  </si>
  <si>
    <t>12/17/2014</t>
    <phoneticPr fontId="1" type="noConversion"/>
  </si>
  <si>
    <t>outlet闪购</t>
    <phoneticPr fontId="1" type="noConversion"/>
  </si>
  <si>
    <t>Coach F34508 樱花色大皮包</t>
    <phoneticPr fontId="1" type="noConversion"/>
  </si>
  <si>
    <t>Coach F34608 浅棕色PU logo 大包</t>
    <phoneticPr fontId="1" type="noConversion"/>
  </si>
  <si>
    <t>Coach002</t>
    <phoneticPr fontId="1" type="noConversion"/>
  </si>
  <si>
    <t>package2</t>
    <phoneticPr fontId="1" type="noConversion"/>
  </si>
  <si>
    <t>Coach F52298 黑色褶皱皮钱包</t>
    <phoneticPr fontId="1" type="noConversion"/>
  </si>
  <si>
    <t>刘爽收，北京市东城区体育馆路7号，邮局二层，邮编：100061，电话：13810206765</t>
    <phoneticPr fontId="1" type="noConversion"/>
  </si>
  <si>
    <r>
      <t>王晓伟（流言蜚语）收，北京市石景山区石景山路</t>
    </r>
    <r>
      <rPr>
        <sz val="11"/>
        <color theme="1"/>
        <rFont val="Calibri"/>
        <family val="2"/>
      </rPr>
      <t>18</t>
    </r>
    <r>
      <rPr>
        <sz val="11"/>
        <color theme="1"/>
        <rFont val="宋体"/>
        <family val="3"/>
        <charset val="134"/>
      </rPr>
      <t>号区政府，邮编：</t>
    </r>
    <r>
      <rPr>
        <sz val="11"/>
        <color theme="1"/>
        <rFont val="Calibri"/>
        <family val="2"/>
      </rPr>
      <t>100043</t>
    </r>
    <r>
      <rPr>
        <sz val="11"/>
        <color theme="1"/>
        <rFont val="宋体"/>
        <family val="3"/>
        <charset val="134"/>
      </rPr>
      <t>，电话：</t>
    </r>
    <r>
      <rPr>
        <sz val="11"/>
        <color theme="1"/>
        <rFont val="Calibri"/>
        <family val="2"/>
      </rPr>
      <t>13810445989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Calibri"/>
        <family val="2"/>
      </rPr>
      <t>88699564</t>
    </r>
    <phoneticPr fontId="1" type="noConversion"/>
  </si>
  <si>
    <t>Coach F34797 Mini黑色升级杀手包</t>
    <phoneticPr fontId="1" type="noConversion"/>
  </si>
  <si>
    <t>Coach003</t>
    <phoneticPr fontId="1" type="noConversion"/>
  </si>
  <si>
    <t>package3</t>
    <phoneticPr fontId="1" type="noConversion"/>
  </si>
  <si>
    <t>杨双星收，北京市朝阳区三里屯南路通盈中心 ， 邮编：100600，移动电话15321587300 ，固定电话010-65004717</t>
    <phoneticPr fontId="1" type="noConversion"/>
  </si>
  <si>
    <t>Coach F24606 红边大贝壳</t>
    <phoneticPr fontId="1" type="noConversion"/>
  </si>
  <si>
    <t>Coach004</t>
    <phoneticPr fontId="1" type="noConversion"/>
  </si>
  <si>
    <t>package4</t>
  </si>
  <si>
    <t>李月收，北京市朝阳区太阳宫新纪家园5号楼207，邮编：100031，电话：18610966896</t>
    <phoneticPr fontId="1" type="noConversion"/>
  </si>
  <si>
    <t>Coach F34663 灰色小挎包</t>
    <phoneticPr fontId="1" type="noConversion"/>
  </si>
  <si>
    <t>Coach005</t>
    <phoneticPr fontId="1" type="noConversion"/>
  </si>
  <si>
    <t>小慧姑姑带回</t>
    <phoneticPr fontId="1" type="noConversion"/>
  </si>
  <si>
    <t>Coach F32584 红边小贝壳</t>
    <phoneticPr fontId="1" type="noConversion"/>
  </si>
  <si>
    <t>运费单给 ￥175+￥75保险 -clear</t>
    <phoneticPr fontId="1" type="noConversion"/>
  </si>
  <si>
    <t>net profit中包含$85.05本土USPS邮费</t>
    <phoneticPr fontId="1" type="noConversion"/>
  </si>
  <si>
    <t>加州宝宝金盏花lotion - 10瓶 - 195ml-6.5oz</t>
    <phoneticPr fontId="1" type="noConversion"/>
  </si>
  <si>
    <t>114-2443219-9538618 &amp;114-3655327-7793837</t>
    <phoneticPr fontId="1" type="noConversion"/>
  </si>
  <si>
    <t>114-2953260-6861848 &amp;114-5540393-7347433</t>
    <phoneticPr fontId="1" type="noConversion"/>
  </si>
  <si>
    <t>12/23/2014</t>
    <phoneticPr fontId="1" type="noConversion"/>
  </si>
  <si>
    <t>outlet购买</t>
    <phoneticPr fontId="1" type="noConversion"/>
  </si>
  <si>
    <t>TUMI男士皮斜跨</t>
    <phoneticPr fontId="1" type="noConversion"/>
  </si>
  <si>
    <t>Longchamp红色女士大皮包</t>
    <phoneticPr fontId="1" type="noConversion"/>
  </si>
  <si>
    <t>12/12/14 6.7lbs B105713 $500保险</t>
    <phoneticPr fontId="1" type="noConversion"/>
  </si>
  <si>
    <t>12/10/14 2.4lbs B105716 $100保险</t>
    <phoneticPr fontId="1" type="noConversion"/>
  </si>
  <si>
    <t>12/12/2014 5.2lbs B105731 $200保险</t>
    <phoneticPr fontId="1" type="noConversion"/>
  </si>
  <si>
    <t>12/12/14 4.6lbs B105818 $300保险</t>
    <phoneticPr fontId="1" type="noConversion"/>
  </si>
  <si>
    <t>12/12/2014 2.4lbs B105732 $100保险</t>
    <phoneticPr fontId="1" type="noConversion"/>
  </si>
  <si>
    <t>12/12/14 2.35lbs B105720 $100保险</t>
    <phoneticPr fontId="1" type="noConversion"/>
  </si>
  <si>
    <t>12/11/14 2.2lbs B105735 $100保险</t>
    <phoneticPr fontId="1" type="noConversion"/>
  </si>
  <si>
    <t>12/14/14 4.2lbs B105740 $400保险</t>
    <phoneticPr fontId="1" type="noConversion"/>
  </si>
  <si>
    <t>12/14/14 4.3lbs B105752 $300保险</t>
    <phoneticPr fontId="1" type="noConversion"/>
  </si>
  <si>
    <t>12/12/14 4.8lbs B105736 $300保险</t>
    <phoneticPr fontId="1" type="noConversion"/>
  </si>
  <si>
    <t>Drugstore - California Baby Cream - calendula - 2个</t>
    <phoneticPr fontId="1" type="noConversion"/>
  </si>
  <si>
    <t>Drugstore - California Baby Cream - calming - 4个</t>
    <phoneticPr fontId="1" type="noConversion"/>
  </si>
  <si>
    <t>Drugstore - California Baby Bubble Bath-overtired and cranky-2个</t>
    <phoneticPr fontId="1" type="noConversion"/>
  </si>
  <si>
    <t>Drugstore - California Baby Bubble Bath-I love you-2个</t>
    <phoneticPr fontId="1" type="noConversion"/>
  </si>
  <si>
    <t>Drugstore - California Baby Bubble Bath-calming-2个</t>
    <phoneticPr fontId="1" type="noConversion"/>
  </si>
  <si>
    <t>Drugstore - California Baby Lotion-calendula-1个</t>
    <phoneticPr fontId="1" type="noConversion"/>
  </si>
  <si>
    <t>Drugstore - California Baby Lotion-calendula-5个</t>
    <phoneticPr fontId="1" type="noConversion"/>
  </si>
  <si>
    <t>Amazon-Melissa&amp;Doug Annie Doll</t>
    <phoneticPr fontId="1" type="noConversion"/>
  </si>
  <si>
    <t>Amazon-Thermos 10oz 水壶</t>
    <phoneticPr fontId="1" type="noConversion"/>
  </si>
  <si>
    <t>Amazon-Thermos 16oz 水壶 - 2个</t>
    <phoneticPr fontId="1" type="noConversion"/>
  </si>
  <si>
    <t>Amazon-Thermos 16oz 水壶 - 1个</t>
    <phoneticPr fontId="1" type="noConversion"/>
  </si>
  <si>
    <t>Amazon-California baby Calendula Cream 4oz - 6个</t>
    <phoneticPr fontId="1" type="noConversion"/>
  </si>
  <si>
    <t>Carter's - 4件</t>
    <phoneticPr fontId="1" type="noConversion"/>
  </si>
  <si>
    <t>Carter's-3件</t>
    <phoneticPr fontId="1" type="noConversion"/>
  </si>
  <si>
    <t>AF - 3件</t>
    <phoneticPr fontId="1" type="noConversion"/>
  </si>
  <si>
    <t>包裹45</t>
    <phoneticPr fontId="1" type="noConversion"/>
  </si>
  <si>
    <t>Drugstore - Baby Banana Toothbrush 8个</t>
    <phoneticPr fontId="1" type="noConversion"/>
  </si>
  <si>
    <t>Drugstore - Ddrop 6个</t>
    <phoneticPr fontId="1" type="noConversion"/>
  </si>
  <si>
    <t>Drugstore - Enfamil muiltivitamin 6个</t>
    <phoneticPr fontId="1" type="noConversion"/>
  </si>
  <si>
    <t>Drugstore - Nordic Natural Baby's DHA 3个</t>
    <phoneticPr fontId="1" type="noConversion"/>
  </si>
  <si>
    <t>114-8263160-6318667</t>
    <phoneticPr fontId="1" type="noConversion"/>
  </si>
  <si>
    <t>#03371083645500</t>
    <phoneticPr fontId="1" type="noConversion"/>
  </si>
  <si>
    <t>#03371083701500</t>
    <phoneticPr fontId="1" type="noConversion"/>
  </si>
  <si>
    <t>114-2953260-6861848 &amp;114-5540393-7347433</t>
    <phoneticPr fontId="1" type="noConversion"/>
  </si>
  <si>
    <t>#03371082509500</t>
    <phoneticPr fontId="1" type="noConversion"/>
  </si>
  <si>
    <t>#03371082569500</t>
    <phoneticPr fontId="1" type="noConversion"/>
  </si>
  <si>
    <t>Amazon-Nordic Natural Infant's DHA 4个</t>
    <phoneticPr fontId="1" type="noConversion"/>
  </si>
  <si>
    <t>Amazon-child life liquid cal and Mag - 5个</t>
    <phoneticPr fontId="1" type="noConversion"/>
  </si>
  <si>
    <t>car11134928</t>
    <phoneticPr fontId="1" type="noConversion"/>
  </si>
  <si>
    <t>car11158368</t>
    <phoneticPr fontId="1" type="noConversion"/>
  </si>
  <si>
    <t>含$20.3 usps运费</t>
    <phoneticPr fontId="1" type="noConversion"/>
  </si>
  <si>
    <t>1/7/2015</t>
    <phoneticPr fontId="1" type="noConversion"/>
  </si>
  <si>
    <t>Kate Spade - 红色升级杀手-small loden-098689828497</t>
    <phoneticPr fontId="1" type="noConversion"/>
  </si>
  <si>
    <t>刘爽收 北京市东城区前门东大街7号东塔606号，邮编100006，手机号13810206765</t>
    <phoneticPr fontId="1" type="noConversion"/>
  </si>
  <si>
    <t>崔晓舟 北京市海淀区北洼西里55号宣教中心综合办， 邮编：100089，电话：13811667376</t>
    <phoneticPr fontId="1" type="noConversion"/>
  </si>
  <si>
    <t>Coach深色小贝壳-F32584</t>
    <phoneticPr fontId="1" type="noConversion"/>
  </si>
  <si>
    <t>李童收 北京市海淀区中关村大街19号新中关大厦A座9层，邮编：100080，电话：18611151110</t>
    <phoneticPr fontId="1" type="noConversion"/>
  </si>
  <si>
    <t>Target-stokke Mycarrier - 1个</t>
    <phoneticPr fontId="1" type="noConversion"/>
  </si>
  <si>
    <t xml:space="preserve">Your order number is 102165751664
</t>
    <phoneticPr fontId="1" type="noConversion"/>
  </si>
  <si>
    <t>Target-黑色 Mycarrier - 1个</t>
    <phoneticPr fontId="1" type="noConversion"/>
  </si>
  <si>
    <t>12/4/2014 B105664 2lbs-$5tax+$200保险</t>
    <phoneticPr fontId="1" type="noConversion"/>
  </si>
  <si>
    <t>12/9/14 3.5lbs B105719 $200保险</t>
    <phoneticPr fontId="1" type="noConversion"/>
  </si>
  <si>
    <t>12/11/14 4.45lbs B105724 $200保险</t>
    <phoneticPr fontId="1" type="noConversion"/>
  </si>
  <si>
    <t>12/14/14 2.1lbs B105714 $400保险</t>
    <phoneticPr fontId="1" type="noConversion"/>
  </si>
  <si>
    <r>
      <t xml:space="preserve">12/12/14 2.2lbs </t>
    </r>
    <r>
      <rPr>
        <sz val="11"/>
        <color rgb="FFFF0000"/>
        <rFont val="宋体"/>
        <family val="3"/>
        <charset val="134"/>
        <scheme val="minor"/>
      </rPr>
      <t>B105748 $100保险</t>
    </r>
    <phoneticPr fontId="1" type="noConversion"/>
  </si>
  <si>
    <t>12/26/14 1.8lbs 3116866491 $100ins</t>
    <phoneticPr fontId="1" type="noConversion"/>
  </si>
  <si>
    <t>1/12/15 B106269 1.25lbs $100 insur</t>
    <phoneticPr fontId="1" type="noConversion"/>
  </si>
  <si>
    <t>include $15.07 usps fee</t>
    <phoneticPr fontId="1" type="noConversion"/>
  </si>
  <si>
    <t>箱子3号：12/26/14 3116866513</t>
    <phoneticPr fontId="1" type="noConversion"/>
  </si>
  <si>
    <t>Coach深色大贝壳-F26184</t>
    <phoneticPr fontId="1" type="noConversion"/>
  </si>
  <si>
    <t>12/9/14 4.5lbs B105711 $300保险</t>
    <phoneticPr fontId="1" type="noConversion"/>
  </si>
  <si>
    <t>12/26/14 3.4lbs 3116866502 $200insur</t>
    <phoneticPr fontId="1" type="noConversion"/>
  </si>
  <si>
    <t>12/26/14 3.2lbs 3116866465 $200insur</t>
    <phoneticPr fontId="1" type="noConversion"/>
  </si>
  <si>
    <t>12/26/14 2.5lbs 3116866454 $100 ins</t>
    <phoneticPr fontId="1" type="noConversion"/>
  </si>
  <si>
    <t>箱子1号：12/28/14 3116866572</t>
    <phoneticPr fontId="1" type="noConversion"/>
  </si>
  <si>
    <t>箱子2号：12/28/14 3116866594</t>
    <phoneticPr fontId="1" type="noConversion"/>
  </si>
  <si>
    <t>箱子4号：12/26/14 3116866443</t>
    <phoneticPr fontId="1" type="noConversion"/>
  </si>
  <si>
    <t>1/12/15 B106267 2.7lbs $200 insur</t>
    <phoneticPr fontId="1" type="noConversion"/>
  </si>
  <si>
    <t>Coach深色小贝壳-F32584</t>
    <phoneticPr fontId="1" type="noConversion"/>
  </si>
  <si>
    <t>裴成海收，北京市宣武门内大街2号，邮编：100031 电话：13426265926</t>
    <phoneticPr fontId="1" type="noConversion"/>
  </si>
  <si>
    <t>1/12/15 B106268 3.2lbs $200 insur</t>
    <phoneticPr fontId="1" type="noConversion"/>
  </si>
  <si>
    <r>
      <t xml:space="preserve">12/12/14 4.4lbs </t>
    </r>
    <r>
      <rPr>
        <sz val="11"/>
        <rFont val="宋体"/>
        <family val="3"/>
        <charset val="134"/>
        <scheme val="minor"/>
      </rPr>
      <t>B105722 $200保险</t>
    </r>
    <phoneticPr fontId="1" type="noConversion"/>
  </si>
  <si>
    <t>运费￥1690-clear</t>
    <phoneticPr fontId="1" type="noConversion"/>
  </si>
  <si>
    <t>箱子6号：1/2/14 3116866550</t>
    <phoneticPr fontId="1" type="noConversion"/>
  </si>
  <si>
    <t xml:space="preserve">胡潇囡，北京市石景山区晋元庄路9号北京大学首钢医院营养科，邮编：100144，电话：18210395404
</t>
    <phoneticPr fontId="1" type="noConversion"/>
  </si>
  <si>
    <t>箱子5号：12/26/14 3116866476</t>
    <phoneticPr fontId="1" type="noConversion"/>
  </si>
  <si>
    <t>箱子7号：1/12/15 B106266</t>
    <phoneticPr fontId="1" type="noConversion"/>
  </si>
  <si>
    <t>箱子8号：1/18/15 B106272</t>
    <phoneticPr fontId="1" type="noConversion"/>
  </si>
  <si>
    <t>12/11/14 4.6lbs B105734 $400保险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</si>
</sst>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26" formatCode="\$#,##0.00_);[Red]\(\$#,##0.00\)"/>
    <numFmt numFmtId="176" formatCode="&quot;¥&quot;#,##0.00_);[Red]\(&quot;¥&quot;#,##0.00\)"/>
  </numFmts>
  <fonts count="33">
    <font>
      <sz val="11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11"/>
      <color rgb="FFFF0000"/>
      <name val="宋体"/>
      <family val="2"/>
      <charset val="134"/>
      <scheme val="minor"/>
    </font>
    <font>
      <u/>
      <sz val="11"/>
      <color theme="10"/>
      <name val="宋体"/>
      <family val="3"/>
      <charset val="134"/>
    </font>
    <font>
      <b/>
      <sz val="11"/>
      <color theme="1"/>
      <name val="宋体"/>
      <family val="3"/>
      <charset val="134"/>
      <scheme val="minor"/>
    </font>
    <font>
      <sz val="11"/>
      <name val="宋体"/>
      <family val="2"/>
      <charset val="134"/>
      <scheme val="minor"/>
    </font>
    <font>
      <b/>
      <sz val="11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color theme="1"/>
      <name val="宋体"/>
      <family val="2"/>
      <charset val="134"/>
      <scheme val="minor"/>
    </font>
    <font>
      <b/>
      <sz val="7"/>
      <color rgb="FF000000"/>
      <name val="Verdana"/>
      <family val="2"/>
    </font>
    <font>
      <b/>
      <sz val="7"/>
      <color rgb="FF000000"/>
      <name val="宋体"/>
      <family val="3"/>
      <charset val="134"/>
    </font>
    <font>
      <sz val="10"/>
      <color rgb="FF53504C"/>
      <name val="Helvetica"/>
      <family val="2"/>
    </font>
    <font>
      <sz val="8"/>
      <color rgb="FF595959"/>
      <name val="Arial"/>
      <family val="2"/>
    </font>
    <font>
      <sz val="14"/>
      <color rgb="FFFF901D"/>
      <name val="Arial"/>
      <family val="2"/>
    </font>
    <font>
      <sz val="8"/>
      <color rgb="FF000000"/>
      <name val="Palatino Linotype"/>
      <family val="1"/>
    </font>
    <font>
      <sz val="8"/>
      <color rgb="FF000000"/>
      <name val="VictoriaOne"/>
      <family val="2"/>
    </font>
    <font>
      <b/>
      <sz val="9"/>
      <color rgb="FF000000"/>
      <name val="Arial"/>
      <family val="2"/>
    </font>
    <font>
      <sz val="11"/>
      <color rgb="FF000000"/>
      <name val="宋体"/>
      <family val="3"/>
      <charset val="134"/>
    </font>
    <font>
      <sz val="11"/>
      <color rgb="FF000000"/>
      <name val="Arial"/>
      <family val="2"/>
    </font>
    <font>
      <b/>
      <sz val="1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b/>
      <sz val="14"/>
      <color rgb="FFFF901D"/>
      <name val="Arial"/>
      <family val="2"/>
    </font>
    <font>
      <b/>
      <sz val="7"/>
      <color rgb="FF333333"/>
      <name val="Arial"/>
      <family val="2"/>
    </font>
    <font>
      <sz val="11"/>
      <name val="Arial"/>
      <family val="2"/>
    </font>
    <font>
      <sz val="11"/>
      <name val="宋体"/>
      <family val="2"/>
      <scheme val="minor"/>
    </font>
    <font>
      <b/>
      <sz val="7"/>
      <color rgb="FF666666"/>
      <name val="Arial"/>
      <family val="2"/>
    </font>
    <font>
      <b/>
      <sz val="8"/>
      <color rgb="FF333333"/>
      <name val="宋体"/>
      <family val="3"/>
      <charset val="134"/>
    </font>
    <font>
      <sz val="10.5"/>
      <name val="宋体"/>
      <family val="3"/>
      <charset val="134"/>
      <scheme val="minor"/>
    </font>
    <font>
      <sz val="10.5"/>
      <name val="Calibri"/>
      <family val="2"/>
    </font>
    <font>
      <sz val="10.5"/>
      <name val="宋体"/>
      <family val="2"/>
      <scheme val="minor"/>
    </font>
    <font>
      <sz val="11"/>
      <color theme="1"/>
      <name val="Calibri"/>
      <family val="2"/>
    </font>
    <font>
      <sz val="11"/>
      <color theme="1"/>
      <name val="宋体"/>
      <family val="3"/>
      <charset val="134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CC66FF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theme="1" tint="0.249977111117893"/>
        <bgColor indexed="64"/>
      </patternFill>
    </fill>
    <fill>
      <patternFill patternType="solid">
        <fgColor theme="6" tint="0.79998168889431442"/>
        <bgColor indexed="65"/>
      </patternFill>
    </fill>
  </fills>
  <borders count="3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/>
      <diagonal/>
    </border>
  </borders>
  <cellStyleXfs count="3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top"/>
      <protection locked="0"/>
    </xf>
    <xf numFmtId="0" fontId="9" fillId="11" borderId="0" applyNumberFormat="0" applyBorder="0" applyAlignment="0" applyProtection="0">
      <alignment vertical="center"/>
    </xf>
  </cellStyleXfs>
  <cellXfs count="269">
    <xf numFmtId="0" fontId="0" fillId="0" borderId="0" xfId="0">
      <alignment vertical="center"/>
    </xf>
    <xf numFmtId="26" fontId="0" fillId="0" borderId="0" xfId="0" applyNumberFormat="1">
      <alignment vertical="center"/>
    </xf>
    <xf numFmtId="176" fontId="0" fillId="0" borderId="0" xfId="0" applyNumberFormat="1">
      <alignment vertical="center"/>
    </xf>
    <xf numFmtId="0" fontId="0" fillId="2" borderId="0" xfId="0" applyFill="1">
      <alignment vertical="center"/>
    </xf>
    <xf numFmtId="0" fontId="0" fillId="0" borderId="0" xfId="0" applyFill="1">
      <alignment vertical="center"/>
    </xf>
    <xf numFmtId="26" fontId="0" fillId="0" borderId="0" xfId="0" applyNumberFormat="1" applyFill="1">
      <alignment vertical="center"/>
    </xf>
    <xf numFmtId="176" fontId="0" fillId="0" borderId="0" xfId="0" applyNumberFormat="1" applyFill="1">
      <alignment vertical="center"/>
    </xf>
    <xf numFmtId="0" fontId="0" fillId="3" borderId="0" xfId="0" applyFill="1">
      <alignment vertical="center"/>
    </xf>
    <xf numFmtId="26" fontId="0" fillId="3" borderId="0" xfId="0" applyNumberFormat="1" applyFill="1">
      <alignment vertical="center"/>
    </xf>
    <xf numFmtId="176" fontId="0" fillId="3" borderId="0" xfId="0" applyNumberFormat="1" applyFill="1">
      <alignment vertical="center"/>
    </xf>
    <xf numFmtId="0" fontId="0" fillId="4" borderId="0" xfId="0" applyFill="1">
      <alignment vertical="center"/>
    </xf>
    <xf numFmtId="0" fontId="0" fillId="5" borderId="0" xfId="0" applyFill="1">
      <alignment vertical="center"/>
    </xf>
    <xf numFmtId="26" fontId="0" fillId="0" borderId="0" xfId="0" applyNumberFormat="1" applyAlignment="1">
      <alignment horizontal="center" vertical="center"/>
    </xf>
    <xf numFmtId="26" fontId="0" fillId="3" borderId="0" xfId="0" applyNumberFormat="1" applyFill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0" fontId="3" fillId="0" borderId="0" xfId="1" applyAlignment="1" applyProtection="1">
      <alignment vertical="center"/>
    </xf>
    <xf numFmtId="26" fontId="0" fillId="0" borderId="0" xfId="0" applyNumberFormat="1" applyAlignment="1">
      <alignment horizontal="right" vertical="center"/>
    </xf>
    <xf numFmtId="0" fontId="0" fillId="0" borderId="0" xfId="0" applyAlignment="1">
      <alignment vertical="center" wrapText="1"/>
    </xf>
    <xf numFmtId="0" fontId="0" fillId="0" borderId="0" xfId="0" applyAlignment="1">
      <alignment horizontal="center" vertical="center"/>
    </xf>
    <xf numFmtId="0" fontId="5" fillId="7" borderId="0" xfId="0" applyFont="1" applyFill="1">
      <alignment vertical="center"/>
    </xf>
    <xf numFmtId="0" fontId="0" fillId="0" borderId="0" xfId="0" applyBorder="1">
      <alignment vertical="center"/>
    </xf>
    <xf numFmtId="26" fontId="0" fillId="0" borderId="0" xfId="0" applyNumberFormat="1" applyBorder="1">
      <alignment vertical="center"/>
    </xf>
    <xf numFmtId="26" fontId="0" fillId="0" borderId="0" xfId="0" applyNumberFormat="1" applyBorder="1" applyAlignment="1">
      <alignment horizontal="center" vertical="center"/>
    </xf>
    <xf numFmtId="176" fontId="0" fillId="0" borderId="0" xfId="0" applyNumberFormat="1" applyBorder="1">
      <alignment vertical="center"/>
    </xf>
    <xf numFmtId="0" fontId="0" fillId="0" borderId="1" xfId="0" applyBorder="1">
      <alignment vertical="center"/>
    </xf>
    <xf numFmtId="26" fontId="0" fillId="0" borderId="1" xfId="0" applyNumberFormat="1" applyBorder="1">
      <alignment vertical="center"/>
    </xf>
    <xf numFmtId="26" fontId="0" fillId="0" borderId="1" xfId="0" applyNumberFormat="1" applyBorder="1" applyAlignment="1">
      <alignment horizontal="center" vertical="center"/>
    </xf>
    <xf numFmtId="176" fontId="0" fillId="0" borderId="1" xfId="0" applyNumberFormat="1" applyBorder="1">
      <alignment vertical="center"/>
    </xf>
    <xf numFmtId="26" fontId="0" fillId="0" borderId="0" xfId="0" applyNumberFormat="1" applyFill="1" applyAlignment="1">
      <alignment vertical="center"/>
    </xf>
    <xf numFmtId="26" fontId="6" fillId="0" borderId="0" xfId="0" applyNumberFormat="1" applyFont="1" applyAlignment="1">
      <alignment horizontal="center"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vertical="center"/>
    </xf>
    <xf numFmtId="0" fontId="0" fillId="3" borderId="0" xfId="0" applyFill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0" fillId="0" borderId="1" xfId="0" applyBorder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4" fillId="0" borderId="0" xfId="0" applyNumberFormat="1" applyFont="1" applyAlignment="1">
      <alignment horizontal="center" vertical="center" wrapText="1"/>
    </xf>
    <xf numFmtId="0" fontId="4" fillId="0" borderId="0" xfId="0" applyFont="1" applyAlignment="1">
      <alignment horizontal="center" vertical="center" wrapText="1"/>
    </xf>
    <xf numFmtId="176" fontId="4" fillId="0" borderId="0" xfId="0" applyNumberFormat="1" applyFont="1" applyAlignment="1">
      <alignment horizontal="center" vertical="center" wrapText="1"/>
    </xf>
    <xf numFmtId="26" fontId="4" fillId="0" borderId="0" xfId="0" applyNumberFormat="1" applyFont="1" applyAlignment="1">
      <alignment horizontal="right" vertical="center" wrapText="1"/>
    </xf>
    <xf numFmtId="26" fontId="0" fillId="3" borderId="0" xfId="0" applyNumberFormat="1" applyFill="1" applyAlignment="1">
      <alignment horizontal="right" vertical="center"/>
    </xf>
    <xf numFmtId="26" fontId="0" fillId="0" borderId="0" xfId="0" applyNumberFormat="1" applyFill="1" applyAlignment="1">
      <alignment horizontal="right" vertical="center"/>
    </xf>
    <xf numFmtId="26" fontId="0" fillId="0" borderId="0" xfId="0" applyNumberFormat="1" applyBorder="1" applyAlignment="1">
      <alignment horizontal="right" vertical="center"/>
    </xf>
    <xf numFmtId="26" fontId="0" fillId="0" borderId="1" xfId="0" applyNumberFormat="1" applyBorder="1" applyAlignment="1">
      <alignment horizontal="right" vertical="center"/>
    </xf>
    <xf numFmtId="0" fontId="0" fillId="8" borderId="0" xfId="0" applyFill="1" applyBorder="1">
      <alignment vertical="center"/>
    </xf>
    <xf numFmtId="0" fontId="0" fillId="9" borderId="0" xfId="0" applyFill="1">
      <alignment vertical="center"/>
    </xf>
    <xf numFmtId="176" fontId="4" fillId="0" borderId="0" xfId="0" applyNumberFormat="1" applyFont="1" applyAlignment="1">
      <alignment horizontal="right" vertical="center" wrapText="1"/>
    </xf>
    <xf numFmtId="176" fontId="0" fillId="6" borderId="0" xfId="0" applyNumberFormat="1" applyFill="1" applyAlignment="1">
      <alignment horizontal="right" vertical="center"/>
    </xf>
    <xf numFmtId="176" fontId="0" fillId="3" borderId="0" xfId="0" applyNumberFormat="1" applyFill="1" applyAlignment="1">
      <alignment horizontal="right" vertical="center"/>
    </xf>
    <xf numFmtId="176" fontId="0" fillId="0" borderId="0" xfId="0" applyNumberFormat="1" applyAlignment="1">
      <alignment horizontal="right" vertical="center"/>
    </xf>
    <xf numFmtId="176" fontId="0" fillId="6" borderId="0" xfId="0" applyNumberFormat="1" applyFill="1" applyBorder="1" applyAlignment="1">
      <alignment horizontal="right" vertical="center"/>
    </xf>
    <xf numFmtId="176" fontId="0" fillId="6" borderId="1" xfId="0" applyNumberFormat="1" applyFill="1" applyBorder="1" applyAlignment="1">
      <alignment horizontal="right" vertical="center"/>
    </xf>
    <xf numFmtId="176" fontId="0" fillId="0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10" borderId="0" xfId="0" applyFill="1">
      <alignment vertical="center"/>
    </xf>
    <xf numFmtId="49" fontId="0" fillId="0" borderId="0" xfId="0" applyNumberFormat="1">
      <alignment vertical="center"/>
    </xf>
    <xf numFmtId="0" fontId="6" fillId="0" borderId="0" xfId="0" applyFont="1">
      <alignment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vertical="center"/>
    </xf>
    <xf numFmtId="49" fontId="0" fillId="0" borderId="0" xfId="0" applyNumberFormat="1" applyAlignment="1">
      <alignment vertical="center" wrapText="1"/>
    </xf>
    <xf numFmtId="176" fontId="8" fillId="0" borderId="0" xfId="0" applyNumberFormat="1" applyFont="1">
      <alignment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176" fontId="0" fillId="3" borderId="0" xfId="0" applyNumberFormat="1" applyFill="1" applyBorder="1">
      <alignment vertical="center"/>
    </xf>
    <xf numFmtId="26" fontId="0" fillId="0" borderId="0" xfId="0" applyNumberFormat="1" applyAlignment="1">
      <alignment vertical="center"/>
    </xf>
    <xf numFmtId="26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0" fontId="2" fillId="0" borderId="0" xfId="0" applyFont="1" applyAlignment="1">
      <alignment horizontal="center" vertical="center" wrapText="1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10" fillId="0" borderId="0" xfId="0" applyFont="1">
      <alignment vertical="center"/>
    </xf>
    <xf numFmtId="0" fontId="0" fillId="2" borderId="0" xfId="0" applyFill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3" fillId="0" borderId="0" xfId="1" applyAlignment="1" applyProtection="1">
      <alignment horizontal="left" vertical="center"/>
    </xf>
    <xf numFmtId="0" fontId="9" fillId="11" borderId="0" xfId="2">
      <alignment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12" fillId="0" borderId="0" xfId="0" applyFont="1">
      <alignment vertical="center"/>
    </xf>
    <xf numFmtId="0" fontId="2" fillId="0" borderId="0" xfId="0" applyFont="1">
      <alignment vertical="center"/>
    </xf>
    <xf numFmtId="0" fontId="13" fillId="0" borderId="0" xfId="0" applyFont="1">
      <alignment vertical="center"/>
    </xf>
    <xf numFmtId="0" fontId="14" fillId="0" borderId="0" xfId="0" applyFont="1" applyAlignment="1">
      <alignment vertical="center" wrapText="1"/>
    </xf>
    <xf numFmtId="0" fontId="14" fillId="0" borderId="0" xfId="0" applyFont="1" applyAlignment="1">
      <alignment vertical="center"/>
    </xf>
    <xf numFmtId="0" fontId="16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17" fillId="0" borderId="0" xfId="0" applyFont="1">
      <alignment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Fill="1" applyAlignment="1">
      <alignment horizontal="left" vertical="center"/>
    </xf>
    <xf numFmtId="26" fontId="20" fillId="0" borderId="0" xfId="0" applyNumberFormat="1" applyFont="1" applyFill="1" applyAlignment="1">
      <alignment horizontal="center" vertical="center" wrapText="1"/>
    </xf>
    <xf numFmtId="26" fontId="21" fillId="0" borderId="0" xfId="0" applyNumberFormat="1" applyFont="1" applyFill="1" applyAlignment="1">
      <alignment horizontal="center" vertical="center"/>
    </xf>
    <xf numFmtId="26" fontId="21" fillId="3" borderId="0" xfId="0" applyNumberFormat="1" applyFont="1" applyFill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22" fillId="0" borderId="0" xfId="0" applyFont="1" applyAlignment="1">
      <alignment vertical="center"/>
    </xf>
    <xf numFmtId="0" fontId="23" fillId="0" borderId="0" xfId="0" applyFont="1">
      <alignment vertical="center"/>
    </xf>
    <xf numFmtId="176" fontId="0" fillId="6" borderId="0" xfId="0" applyNumberFormat="1" applyFill="1" applyAlignment="1">
      <alignment horizontal="right" vertical="center"/>
    </xf>
    <xf numFmtId="0" fontId="8" fillId="0" borderId="0" xfId="0" applyFont="1">
      <alignment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21" fillId="0" borderId="0" xfId="0" applyNumberFormat="1" applyFont="1" applyFill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5" fillId="0" borderId="0" xfId="0" applyFont="1" applyFill="1" applyAlignment="1">
      <alignment horizontal="center" vertical="center"/>
    </xf>
    <xf numFmtId="0" fontId="5" fillId="0" borderId="0" xfId="0" applyFont="1" applyFill="1">
      <alignment vertical="center"/>
    </xf>
    <xf numFmtId="26" fontId="5" fillId="0" borderId="0" xfId="0" applyNumberFormat="1" applyFont="1" applyFill="1">
      <alignment vertical="center"/>
    </xf>
    <xf numFmtId="26" fontId="5" fillId="0" borderId="0" xfId="0" applyNumberFormat="1" applyFont="1" applyFill="1" applyAlignment="1">
      <alignment horizontal="center" vertical="center"/>
    </xf>
    <xf numFmtId="176" fontId="5" fillId="0" borderId="0" xfId="0" applyNumberFormat="1" applyFont="1" applyFill="1" applyBorder="1">
      <alignment vertical="center"/>
    </xf>
    <xf numFmtId="26" fontId="0" fillId="0" borderId="0" xfId="0" applyNumberFormat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Fill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176" fontId="5" fillId="6" borderId="0" xfId="0" applyNumberFormat="1" applyFon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26" fontId="0" fillId="0" borderId="0" xfId="0" applyNumberFormat="1" applyAlignment="1">
      <alignment horizontal="center" vertical="center" wrapText="1"/>
    </xf>
    <xf numFmtId="26" fontId="0" fillId="0" borderId="0" xfId="0" applyNumberFormat="1" applyFill="1" applyAlignment="1">
      <alignment horizontal="center" vertical="center"/>
    </xf>
    <xf numFmtId="0" fontId="5" fillId="0" borderId="0" xfId="0" applyFont="1">
      <alignment vertical="center"/>
    </xf>
    <xf numFmtId="0" fontId="26" fillId="0" borderId="0" xfId="0" applyFont="1">
      <alignment vertical="center"/>
    </xf>
    <xf numFmtId="0" fontId="0" fillId="0" borderId="0" xfId="0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176" fontId="0" fillId="6" borderId="0" xfId="0" applyNumberFormat="1" applyFill="1" applyAlignment="1">
      <alignment horizontal="right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5" fillId="0" borderId="0" xfId="0" applyNumberFormat="1" applyFont="1" applyFill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0" fontId="4" fillId="0" borderId="0" xfId="0" applyFont="1">
      <alignment vertical="center"/>
    </xf>
    <xf numFmtId="0" fontId="21" fillId="0" borderId="0" xfId="0" applyFont="1" applyAlignment="1">
      <alignment horizontal="center" vertical="center"/>
    </xf>
    <xf numFmtId="0" fontId="21" fillId="0" borderId="0" xfId="0" applyFont="1" applyAlignment="1">
      <alignment vertical="center"/>
    </xf>
    <xf numFmtId="26" fontId="21" fillId="0" borderId="0" xfId="0" applyNumberFormat="1" applyFont="1">
      <alignment vertical="center"/>
    </xf>
    <xf numFmtId="26" fontId="21" fillId="0" borderId="0" xfId="0" applyNumberFormat="1" applyFont="1" applyAlignment="1">
      <alignment horizontal="center" vertical="center"/>
    </xf>
    <xf numFmtId="26" fontId="21" fillId="0" borderId="0" xfId="0" applyNumberFormat="1" applyFont="1" applyFill="1">
      <alignment vertical="center"/>
    </xf>
    <xf numFmtId="176" fontId="21" fillId="0" borderId="0" xfId="0" applyNumberFormat="1" applyFont="1" applyBorder="1">
      <alignment vertical="center"/>
    </xf>
    <xf numFmtId="176" fontId="21" fillId="6" borderId="0" xfId="0" applyNumberFormat="1" applyFont="1" applyFill="1" applyAlignment="1">
      <alignment horizontal="right" vertical="center"/>
    </xf>
    <xf numFmtId="26" fontId="21" fillId="0" borderId="0" xfId="0" applyNumberFormat="1" applyFont="1" applyAlignment="1">
      <alignment horizontal="right" vertical="center"/>
    </xf>
    <xf numFmtId="0" fontId="21" fillId="0" borderId="0" xfId="0" applyFont="1" applyFill="1">
      <alignment vertical="center"/>
    </xf>
    <xf numFmtId="0" fontId="21" fillId="0" borderId="0" xfId="0" applyFont="1" applyFill="1" applyAlignment="1">
      <alignment horizontal="center" vertical="center"/>
    </xf>
    <xf numFmtId="176" fontId="21" fillId="0" borderId="0" xfId="0" applyNumberFormat="1" applyFont="1" applyFill="1" applyBorder="1">
      <alignment vertical="center"/>
    </xf>
    <xf numFmtId="26" fontId="21" fillId="0" borderId="0" xfId="0" applyNumberFormat="1" applyFont="1" applyFill="1" applyAlignment="1">
      <alignment horizontal="right" vertical="center"/>
    </xf>
    <xf numFmtId="0" fontId="28" fillId="0" borderId="0" xfId="0" applyFont="1">
      <alignment vertical="center"/>
    </xf>
    <xf numFmtId="0" fontId="21" fillId="0" borderId="0" xfId="0" applyFont="1">
      <alignment vertical="center"/>
    </xf>
    <xf numFmtId="0" fontId="5" fillId="0" borderId="0" xfId="0" applyFont="1" applyAlignment="1">
      <alignment vertical="center"/>
    </xf>
    <xf numFmtId="26" fontId="5" fillId="0" borderId="0" xfId="0" applyNumberFormat="1" applyFont="1">
      <alignment vertical="center"/>
    </xf>
    <xf numFmtId="176" fontId="5" fillId="0" borderId="0" xfId="0" applyNumberFormat="1" applyFont="1" applyBorder="1">
      <alignment vertical="center"/>
    </xf>
    <xf numFmtId="26" fontId="5" fillId="0" borderId="0" xfId="0" applyNumberFormat="1" applyFont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26" fontId="5" fillId="0" borderId="0" xfId="0" applyNumberFormat="1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3" borderId="0" xfId="0" applyFont="1" applyFill="1" applyAlignment="1">
      <alignment horizontal="center" vertical="center"/>
    </xf>
    <xf numFmtId="0" fontId="5" fillId="3" borderId="0" xfId="0" applyFont="1" applyFill="1">
      <alignment vertical="center"/>
    </xf>
    <xf numFmtId="26" fontId="5" fillId="3" borderId="0" xfId="0" applyNumberFormat="1" applyFont="1" applyFill="1">
      <alignment vertical="center"/>
    </xf>
    <xf numFmtId="26" fontId="5" fillId="3" borderId="0" xfId="0" applyNumberFormat="1" applyFont="1" applyFill="1" applyAlignment="1">
      <alignment horizontal="center" vertical="center"/>
    </xf>
    <xf numFmtId="176" fontId="5" fillId="3" borderId="0" xfId="0" applyNumberFormat="1" applyFont="1" applyFill="1" applyBorder="1">
      <alignment vertical="center"/>
    </xf>
    <xf numFmtId="176" fontId="5" fillId="3" borderId="0" xfId="0" applyNumberFormat="1" applyFont="1" applyFill="1" applyAlignment="1">
      <alignment horizontal="right" vertical="center"/>
    </xf>
    <xf numFmtId="26" fontId="5" fillId="3" borderId="0" xfId="0" applyNumberFormat="1" applyFont="1" applyFill="1" applyAlignment="1">
      <alignment horizontal="right" vertical="center"/>
    </xf>
    <xf numFmtId="0" fontId="21" fillId="0" borderId="0" xfId="0" applyFont="1" applyAlignment="1">
      <alignment horizontal="center" vertical="center"/>
    </xf>
    <xf numFmtId="26" fontId="5" fillId="0" borderId="0" xfId="0" applyNumberFormat="1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5" fillId="0" borderId="0" xfId="0" applyNumberFormat="1" applyFont="1" applyFill="1" applyAlignment="1">
      <alignment horizontal="center" vertical="center"/>
    </xf>
    <xf numFmtId="0" fontId="0" fillId="0" borderId="0" xfId="0" applyAlignment="1">
      <alignment horizontal="left" vertical="center"/>
    </xf>
    <xf numFmtId="26" fontId="21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5" fillId="2" borderId="0" xfId="0" applyFont="1" applyFill="1">
      <alignment vertical="center"/>
    </xf>
    <xf numFmtId="0" fontId="2" fillId="0" borderId="0" xfId="0" applyFont="1" applyAlignment="1">
      <alignment horizontal="center" vertical="center"/>
    </xf>
    <xf numFmtId="0" fontId="20" fillId="0" borderId="0" xfId="0" applyFont="1">
      <alignment vertical="center"/>
    </xf>
    <xf numFmtId="0" fontId="21" fillId="0" borderId="0" xfId="0" applyFont="1" applyAlignment="1">
      <alignment horizontal="left" vertical="center"/>
    </xf>
    <xf numFmtId="0" fontId="21" fillId="0" borderId="0" xfId="0" applyFont="1" applyAlignment="1">
      <alignment horizontal="center" vertical="center"/>
    </xf>
    <xf numFmtId="0" fontId="21" fillId="2" borderId="0" xfId="0" applyFont="1" applyFill="1" applyAlignment="1">
      <alignment horizontal="center" vertical="center"/>
    </xf>
    <xf numFmtId="26" fontId="21" fillId="0" borderId="0" xfId="0" applyNumberFormat="1" applyFont="1" applyAlignment="1">
      <alignment horizontal="center" vertical="center"/>
    </xf>
    <xf numFmtId="26" fontId="21" fillId="0" borderId="0" xfId="0" applyNumberFormat="1" applyFont="1" applyFill="1" applyAlignment="1">
      <alignment horizontal="center" vertical="center"/>
    </xf>
    <xf numFmtId="26" fontId="5" fillId="0" borderId="0" xfId="0" applyNumberFormat="1" applyFont="1" applyAlignment="1">
      <alignment horizontal="right" vertical="center"/>
    </xf>
    <xf numFmtId="176" fontId="5" fillId="6" borderId="0" xfId="0" applyNumberFormat="1" applyFont="1" applyFill="1" applyAlignment="1">
      <alignment horizontal="right" vertical="center"/>
    </xf>
    <xf numFmtId="26" fontId="21" fillId="0" borderId="0" xfId="0" applyNumberFormat="1" applyFont="1" applyAlignment="1">
      <alignment horizontal="right" vertical="center"/>
    </xf>
    <xf numFmtId="0" fontId="5" fillId="0" borderId="0" xfId="0" applyFont="1" applyAlignment="1">
      <alignment horizontal="left" vertical="center"/>
    </xf>
    <xf numFmtId="26" fontId="5" fillId="0" borderId="0" xfId="0" applyNumberFormat="1" applyFont="1" applyAlignment="1">
      <alignment horizontal="center" vertical="center"/>
    </xf>
    <xf numFmtId="176" fontId="21" fillId="6" borderId="0" xfId="0" applyNumberFormat="1" applyFont="1" applyFill="1" applyAlignment="1">
      <alignment horizontal="right" vertical="center"/>
    </xf>
    <xf numFmtId="0" fontId="0" fillId="0" borderId="0" xfId="0" applyAlignment="1">
      <alignment horizontal="left" vertical="center"/>
    </xf>
    <xf numFmtId="0" fontId="0" fillId="0" borderId="0" xfId="0" applyFont="1" applyAlignment="1">
      <alignment horizontal="left" vertical="center"/>
    </xf>
    <xf numFmtId="0" fontId="7" fillId="0" borderId="0" xfId="0" applyFont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21" fillId="0" borderId="0" xfId="0" applyFont="1" applyFill="1" applyAlignment="1">
      <alignment horizontal="center" vertical="center"/>
    </xf>
    <xf numFmtId="0" fontId="21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26" fontId="0" fillId="0" borderId="0" xfId="0" applyNumberFormat="1" applyFill="1" applyAlignment="1">
      <alignment horizontal="center" vertical="center"/>
    </xf>
    <xf numFmtId="26" fontId="0" fillId="0" borderId="0" xfId="0" applyNumberFormat="1" applyAlignment="1">
      <alignment horizontal="right" vertical="center"/>
    </xf>
    <xf numFmtId="26" fontId="0" fillId="0" borderId="0" xfId="0" applyNumberFormat="1" applyAlignment="1">
      <alignment horizontal="center" vertical="center"/>
    </xf>
    <xf numFmtId="176" fontId="0" fillId="6" borderId="0" xfId="0" applyNumberFormat="1" applyFill="1" applyAlignment="1">
      <alignment horizontal="right" vertical="center"/>
    </xf>
    <xf numFmtId="26" fontId="6" fillId="0" borderId="0" xfId="0" applyNumberFormat="1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26" fontId="0" fillId="0" borderId="0" xfId="0" applyNumberFormat="1" applyAlignment="1">
      <alignment horizontal="center" vertical="center" wrapText="1"/>
    </xf>
    <xf numFmtId="26" fontId="21" fillId="0" borderId="2" xfId="0" applyNumberFormat="1" applyFont="1" applyFill="1" applyBorder="1" applyAlignment="1">
      <alignment horizontal="center" vertical="center"/>
    </xf>
    <xf numFmtId="26" fontId="21" fillId="0" borderId="1" xfId="0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26" fontId="21" fillId="0" borderId="0" xfId="0" applyNumberFormat="1" applyFont="1" applyFill="1" applyBorder="1" applyAlignment="1">
      <alignment horizontal="center" vertical="center"/>
    </xf>
    <xf numFmtId="0" fontId="2" fillId="0" borderId="0" xfId="0" applyFont="1" applyBorder="1" applyAlignment="1">
      <alignment horizontal="center" vertical="center" wrapText="1"/>
    </xf>
    <xf numFmtId="26" fontId="0" fillId="0" borderId="0" xfId="0" applyNumberFormat="1" applyBorder="1" applyAlignment="1">
      <alignment horizontal="center" vertical="center"/>
    </xf>
    <xf numFmtId="176" fontId="0" fillId="6" borderId="0" xfId="0" applyNumberFormat="1" applyFill="1" applyAlignment="1">
      <alignment horizontal="center" vertical="center"/>
    </xf>
    <xf numFmtId="0" fontId="5" fillId="0" borderId="0" xfId="0" applyFont="1" applyFill="1" applyAlignment="1">
      <alignment horizontal="left" vertical="center"/>
    </xf>
    <xf numFmtId="26" fontId="5" fillId="0" borderId="0" xfId="0" applyNumberFormat="1" applyFont="1" applyFill="1" applyAlignment="1">
      <alignment horizontal="right" vertical="center"/>
    </xf>
    <xf numFmtId="26" fontId="5" fillId="0" borderId="0" xfId="0" applyNumberFormat="1" applyFont="1" applyFill="1" applyAlignment="1">
      <alignment horizontal="center" vertical="center"/>
    </xf>
    <xf numFmtId="26" fontId="0" fillId="6" borderId="0" xfId="0" applyNumberFormat="1" applyFill="1" applyAlignment="1">
      <alignment horizontal="center" vertical="center"/>
    </xf>
    <xf numFmtId="26" fontId="5" fillId="0" borderId="0" xfId="0" applyNumberFormat="1" applyFont="1" applyAlignment="1">
      <alignment horizontal="center" vertical="center" wrapText="1"/>
    </xf>
  </cellXfs>
  <cellStyles count="3">
    <cellStyle name="20% - Accent3" xfId="2" builtinId="38"/>
    <cellStyle name="Hyperlink" xfId="1" builtinId="8"/>
    <cellStyle name="Normal" xfId="0" builtinId="0"/>
  </cellStyles>
  <dxfs count="0"/>
  <tableStyles count="0" defaultTableStyle="TableStyleMedium9" defaultPivotStyle="PivotStyleLight16"/>
  <colors>
    <mruColors>
      <color rgb="FFFF66FF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image" Target="../media/image25.jpeg"/><Relationship Id="rId1" Type="http://schemas.openxmlformats.org/officeDocument/2006/relationships/image" Target="../media/image24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jpeg"/><Relationship Id="rId2" Type="http://schemas.openxmlformats.org/officeDocument/2006/relationships/image" Target="../media/image28.gif"/><Relationship Id="rId1" Type="http://schemas.openxmlformats.org/officeDocument/2006/relationships/image" Target="../media/image27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31.jpeg"/><Relationship Id="rId1" Type="http://schemas.openxmlformats.org/officeDocument/2006/relationships/image" Target="../media/image30.jpeg"/><Relationship Id="rId4" Type="http://schemas.openxmlformats.org/officeDocument/2006/relationships/image" Target="../media/image33.jpe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35.jpeg"/><Relationship Id="rId1" Type="http://schemas.openxmlformats.org/officeDocument/2006/relationships/image" Target="../media/image34.jpe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7.jpeg"/><Relationship Id="rId1" Type="http://schemas.openxmlformats.org/officeDocument/2006/relationships/image" Target="../media/image36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jpeg"/><Relationship Id="rId2" Type="http://schemas.openxmlformats.org/officeDocument/2006/relationships/image" Target="../media/image39.jpeg"/><Relationship Id="rId1" Type="http://schemas.openxmlformats.org/officeDocument/2006/relationships/image" Target="../media/image38.jpeg"/><Relationship Id="rId4" Type="http://schemas.openxmlformats.org/officeDocument/2006/relationships/image" Target="../media/image41.jpe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9.jpeg"/><Relationship Id="rId13" Type="http://schemas.openxmlformats.org/officeDocument/2006/relationships/image" Target="../media/image54.jpeg"/><Relationship Id="rId3" Type="http://schemas.openxmlformats.org/officeDocument/2006/relationships/image" Target="../media/image44.jpeg"/><Relationship Id="rId7" Type="http://schemas.openxmlformats.org/officeDocument/2006/relationships/image" Target="../media/image48.jpeg"/><Relationship Id="rId12" Type="http://schemas.openxmlformats.org/officeDocument/2006/relationships/image" Target="../media/image53.jpeg"/><Relationship Id="rId2" Type="http://schemas.openxmlformats.org/officeDocument/2006/relationships/image" Target="../media/image43.jpeg"/><Relationship Id="rId1" Type="http://schemas.openxmlformats.org/officeDocument/2006/relationships/image" Target="../media/image42.jpeg"/><Relationship Id="rId6" Type="http://schemas.openxmlformats.org/officeDocument/2006/relationships/image" Target="../media/image47.jpeg"/><Relationship Id="rId11" Type="http://schemas.openxmlformats.org/officeDocument/2006/relationships/image" Target="../media/image52.jpeg"/><Relationship Id="rId5" Type="http://schemas.openxmlformats.org/officeDocument/2006/relationships/image" Target="../media/image46.jpeg"/><Relationship Id="rId10" Type="http://schemas.openxmlformats.org/officeDocument/2006/relationships/image" Target="../media/image51.jpeg"/><Relationship Id="rId4" Type="http://schemas.openxmlformats.org/officeDocument/2006/relationships/image" Target="../media/image45.png"/><Relationship Id="rId9" Type="http://schemas.openxmlformats.org/officeDocument/2006/relationships/image" Target="../media/image50.jpe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62.jpeg"/><Relationship Id="rId3" Type="http://schemas.openxmlformats.org/officeDocument/2006/relationships/image" Target="../media/image57.jpeg"/><Relationship Id="rId7" Type="http://schemas.openxmlformats.org/officeDocument/2006/relationships/image" Target="../media/image61.jpeg"/><Relationship Id="rId12" Type="http://schemas.openxmlformats.org/officeDocument/2006/relationships/image" Target="../media/image66.jpeg"/><Relationship Id="rId2" Type="http://schemas.openxmlformats.org/officeDocument/2006/relationships/image" Target="../media/image56.jpeg"/><Relationship Id="rId1" Type="http://schemas.openxmlformats.org/officeDocument/2006/relationships/image" Target="../media/image55.jpeg"/><Relationship Id="rId6" Type="http://schemas.openxmlformats.org/officeDocument/2006/relationships/image" Target="../media/image60.jpeg"/><Relationship Id="rId11" Type="http://schemas.openxmlformats.org/officeDocument/2006/relationships/image" Target="../media/image65.jpeg"/><Relationship Id="rId5" Type="http://schemas.openxmlformats.org/officeDocument/2006/relationships/image" Target="../media/image59.jpeg"/><Relationship Id="rId10" Type="http://schemas.openxmlformats.org/officeDocument/2006/relationships/image" Target="../media/image64.jpeg"/><Relationship Id="rId4" Type="http://schemas.openxmlformats.org/officeDocument/2006/relationships/image" Target="../media/image58.jpeg"/><Relationship Id="rId9" Type="http://schemas.openxmlformats.org/officeDocument/2006/relationships/image" Target="../media/image63.jpe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jpeg"/><Relationship Id="rId2" Type="http://schemas.openxmlformats.org/officeDocument/2006/relationships/image" Target="../media/image68.jpeg"/><Relationship Id="rId1" Type="http://schemas.openxmlformats.org/officeDocument/2006/relationships/image" Target="../media/image67.jpeg"/><Relationship Id="rId5" Type="http://schemas.openxmlformats.org/officeDocument/2006/relationships/image" Target="../media/image71.jpeg"/><Relationship Id="rId4" Type="http://schemas.openxmlformats.org/officeDocument/2006/relationships/image" Target="../media/image70.jpe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79.jpeg"/><Relationship Id="rId13" Type="http://schemas.openxmlformats.org/officeDocument/2006/relationships/image" Target="../media/image84.jpeg"/><Relationship Id="rId18" Type="http://schemas.openxmlformats.org/officeDocument/2006/relationships/image" Target="../media/image89.jpeg"/><Relationship Id="rId3" Type="http://schemas.openxmlformats.org/officeDocument/2006/relationships/image" Target="../media/image74.jpeg"/><Relationship Id="rId7" Type="http://schemas.openxmlformats.org/officeDocument/2006/relationships/image" Target="../media/image78.jpeg"/><Relationship Id="rId12" Type="http://schemas.openxmlformats.org/officeDocument/2006/relationships/image" Target="../media/image83.jpeg"/><Relationship Id="rId17" Type="http://schemas.openxmlformats.org/officeDocument/2006/relationships/image" Target="../media/image88.jpeg"/><Relationship Id="rId2" Type="http://schemas.openxmlformats.org/officeDocument/2006/relationships/image" Target="../media/image73.jpeg"/><Relationship Id="rId16" Type="http://schemas.openxmlformats.org/officeDocument/2006/relationships/image" Target="../media/image87.jpeg"/><Relationship Id="rId1" Type="http://schemas.openxmlformats.org/officeDocument/2006/relationships/image" Target="../media/image72.jpeg"/><Relationship Id="rId6" Type="http://schemas.openxmlformats.org/officeDocument/2006/relationships/image" Target="../media/image77.jpeg"/><Relationship Id="rId11" Type="http://schemas.openxmlformats.org/officeDocument/2006/relationships/image" Target="../media/image82.jpeg"/><Relationship Id="rId5" Type="http://schemas.openxmlformats.org/officeDocument/2006/relationships/image" Target="../media/image76.jpeg"/><Relationship Id="rId15" Type="http://schemas.openxmlformats.org/officeDocument/2006/relationships/image" Target="../media/image86.jpeg"/><Relationship Id="rId10" Type="http://schemas.openxmlformats.org/officeDocument/2006/relationships/image" Target="../media/image81.jpeg"/><Relationship Id="rId19" Type="http://schemas.openxmlformats.org/officeDocument/2006/relationships/image" Target="../media/image90.jpeg"/><Relationship Id="rId4" Type="http://schemas.openxmlformats.org/officeDocument/2006/relationships/image" Target="../media/image75.jpeg"/><Relationship Id="rId9" Type="http://schemas.openxmlformats.org/officeDocument/2006/relationships/image" Target="../media/image80.jpeg"/><Relationship Id="rId14" Type="http://schemas.openxmlformats.org/officeDocument/2006/relationships/image" Target="../media/image85.jpe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jpeg"/><Relationship Id="rId1" Type="http://schemas.openxmlformats.org/officeDocument/2006/relationships/image" Target="../media/image4.jpe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93.jpeg"/><Relationship Id="rId2" Type="http://schemas.openxmlformats.org/officeDocument/2006/relationships/image" Target="../media/image92.png"/><Relationship Id="rId1" Type="http://schemas.openxmlformats.org/officeDocument/2006/relationships/image" Target="../media/image91.jpeg"/><Relationship Id="rId4" Type="http://schemas.openxmlformats.org/officeDocument/2006/relationships/image" Target="../media/image94.jpeg"/></Relationships>
</file>

<file path=xl/drawings/_rels/drawing21.xml.rels><?xml version="1.0" encoding="UTF-8" standalone="yes"?>
<Relationships xmlns="http://schemas.openxmlformats.org/package/2006/relationships"><Relationship Id="rId2" Type="http://schemas.openxmlformats.org/officeDocument/2006/relationships/image" Target="../media/image96.jpeg"/><Relationship Id="rId1" Type="http://schemas.openxmlformats.org/officeDocument/2006/relationships/image" Target="../media/image95.jpeg"/></Relationships>
</file>

<file path=xl/drawings/_rels/drawing22.xml.rels><?xml version="1.0" encoding="UTF-8" standalone="yes"?>
<Relationships xmlns="http://schemas.openxmlformats.org/package/2006/relationships"><Relationship Id="rId2" Type="http://schemas.openxmlformats.org/officeDocument/2006/relationships/image" Target="../media/image98.jpeg"/><Relationship Id="rId1" Type="http://schemas.openxmlformats.org/officeDocument/2006/relationships/image" Target="../media/image97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99.jpe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.jpeg"/><Relationship Id="rId2" Type="http://schemas.openxmlformats.org/officeDocument/2006/relationships/image" Target="../media/image101.jpeg"/><Relationship Id="rId1" Type="http://schemas.openxmlformats.org/officeDocument/2006/relationships/image" Target="../media/image100.jpeg"/><Relationship Id="rId6" Type="http://schemas.openxmlformats.org/officeDocument/2006/relationships/image" Target="../media/image105.jpeg"/><Relationship Id="rId5" Type="http://schemas.openxmlformats.org/officeDocument/2006/relationships/image" Target="../media/image104.jpeg"/><Relationship Id="rId4" Type="http://schemas.openxmlformats.org/officeDocument/2006/relationships/image" Target="../media/image103.jpeg"/></Relationships>
</file>

<file path=xl/drawings/_rels/drawing2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3.jpeg"/><Relationship Id="rId3" Type="http://schemas.openxmlformats.org/officeDocument/2006/relationships/image" Target="../media/image108.jpeg"/><Relationship Id="rId7" Type="http://schemas.openxmlformats.org/officeDocument/2006/relationships/image" Target="../media/image112.jpeg"/><Relationship Id="rId2" Type="http://schemas.openxmlformats.org/officeDocument/2006/relationships/image" Target="../media/image107.jpeg"/><Relationship Id="rId1" Type="http://schemas.openxmlformats.org/officeDocument/2006/relationships/image" Target="../media/image106.jpeg"/><Relationship Id="rId6" Type="http://schemas.openxmlformats.org/officeDocument/2006/relationships/image" Target="../media/image111.jpeg"/><Relationship Id="rId5" Type="http://schemas.openxmlformats.org/officeDocument/2006/relationships/image" Target="../media/image110.jpeg"/><Relationship Id="rId4" Type="http://schemas.openxmlformats.org/officeDocument/2006/relationships/image" Target="../media/image109.jpeg"/><Relationship Id="rId9" Type="http://schemas.openxmlformats.org/officeDocument/2006/relationships/image" Target="../media/image114.jpe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7.jpeg"/><Relationship Id="rId2" Type="http://schemas.openxmlformats.org/officeDocument/2006/relationships/image" Target="../media/image116.jpeg"/><Relationship Id="rId1" Type="http://schemas.openxmlformats.org/officeDocument/2006/relationships/image" Target="../media/image115.jpeg"/></Relationships>
</file>

<file path=xl/drawings/_rels/drawing2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9.jpeg"/><Relationship Id="rId1" Type="http://schemas.openxmlformats.org/officeDocument/2006/relationships/image" Target="../media/image118.jpeg"/></Relationships>
</file>

<file path=xl/drawings/_rels/drawing2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1.jpeg"/><Relationship Id="rId1" Type="http://schemas.openxmlformats.org/officeDocument/2006/relationships/image" Target="../media/image120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7.jpeg"/><Relationship Id="rId1" Type="http://schemas.openxmlformats.org/officeDocument/2006/relationships/image" Target="../media/image6.jpeg"/></Relationships>
</file>

<file path=xl/drawings/_rels/drawing3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0.png"/><Relationship Id="rId3" Type="http://schemas.openxmlformats.org/officeDocument/2006/relationships/image" Target="../media/image125.jpeg"/><Relationship Id="rId7" Type="http://schemas.openxmlformats.org/officeDocument/2006/relationships/image" Target="../media/image129.png"/><Relationship Id="rId12" Type="http://schemas.openxmlformats.org/officeDocument/2006/relationships/image" Target="../media/image134.png"/><Relationship Id="rId2" Type="http://schemas.openxmlformats.org/officeDocument/2006/relationships/image" Target="../media/image124.jpeg"/><Relationship Id="rId1" Type="http://schemas.openxmlformats.org/officeDocument/2006/relationships/image" Target="../media/image123.jpeg"/><Relationship Id="rId6" Type="http://schemas.openxmlformats.org/officeDocument/2006/relationships/image" Target="../media/image128.png"/><Relationship Id="rId11" Type="http://schemas.openxmlformats.org/officeDocument/2006/relationships/image" Target="../media/image133.png"/><Relationship Id="rId5" Type="http://schemas.openxmlformats.org/officeDocument/2006/relationships/image" Target="../media/image127.png"/><Relationship Id="rId10" Type="http://schemas.openxmlformats.org/officeDocument/2006/relationships/image" Target="../media/image132.png"/><Relationship Id="rId4" Type="http://schemas.openxmlformats.org/officeDocument/2006/relationships/image" Target="../media/image126.png"/><Relationship Id="rId9" Type="http://schemas.openxmlformats.org/officeDocument/2006/relationships/image" Target="../media/image131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7.png"/><Relationship Id="rId2" Type="http://schemas.openxmlformats.org/officeDocument/2006/relationships/image" Target="../media/image136.png"/><Relationship Id="rId1" Type="http://schemas.openxmlformats.org/officeDocument/2006/relationships/image" Target="../media/image135.jpeg"/><Relationship Id="rId6" Type="http://schemas.openxmlformats.org/officeDocument/2006/relationships/image" Target="../media/image140.png"/><Relationship Id="rId5" Type="http://schemas.openxmlformats.org/officeDocument/2006/relationships/image" Target="../media/image139.png"/><Relationship Id="rId4" Type="http://schemas.openxmlformats.org/officeDocument/2006/relationships/image" Target="../media/image138.png"/></Relationships>
</file>

<file path=xl/drawings/_rels/drawing3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3.png"/><Relationship Id="rId2" Type="http://schemas.openxmlformats.org/officeDocument/2006/relationships/image" Target="../media/image142.png"/><Relationship Id="rId1" Type="http://schemas.openxmlformats.org/officeDocument/2006/relationships/image" Target="../media/image141.jpeg"/><Relationship Id="rId4" Type="http://schemas.openxmlformats.org/officeDocument/2006/relationships/image" Target="../media/image144.png"/></Relationships>
</file>

<file path=xl/drawings/_rels/drawing3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7.png"/><Relationship Id="rId2" Type="http://schemas.openxmlformats.org/officeDocument/2006/relationships/image" Target="../media/image146.jpeg"/><Relationship Id="rId1" Type="http://schemas.openxmlformats.org/officeDocument/2006/relationships/image" Target="../media/image145.png"/></Relationships>
</file>

<file path=xl/drawings/_rels/drawing3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0.png"/><Relationship Id="rId2" Type="http://schemas.openxmlformats.org/officeDocument/2006/relationships/image" Target="../media/image149.png"/><Relationship Id="rId1" Type="http://schemas.openxmlformats.org/officeDocument/2006/relationships/image" Target="../media/image148.png"/><Relationship Id="rId4" Type="http://schemas.openxmlformats.org/officeDocument/2006/relationships/image" Target="../media/image151.png"/></Relationships>
</file>

<file path=xl/drawings/_rels/drawing3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4.png"/><Relationship Id="rId2" Type="http://schemas.openxmlformats.org/officeDocument/2006/relationships/image" Target="../media/image153.jpeg"/><Relationship Id="rId1" Type="http://schemas.openxmlformats.org/officeDocument/2006/relationships/image" Target="../media/image152.png"/><Relationship Id="rId4" Type="http://schemas.openxmlformats.org/officeDocument/2006/relationships/image" Target="../media/image155.jpe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2" Type="http://schemas.openxmlformats.org/officeDocument/2006/relationships/image" Target="../media/image157.png"/><Relationship Id="rId1" Type="http://schemas.openxmlformats.org/officeDocument/2006/relationships/image" Target="../media/image156.jpeg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2" Type="http://schemas.openxmlformats.org/officeDocument/2006/relationships/image" Target="../media/image160.png"/><Relationship Id="rId1" Type="http://schemas.openxmlformats.org/officeDocument/2006/relationships/image" Target="../media/image159.jpeg"/><Relationship Id="rId4" Type="http://schemas.openxmlformats.org/officeDocument/2006/relationships/image" Target="../media/image161.png"/></Relationships>
</file>

<file path=xl/drawings/_rels/drawing38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jpeg"/><Relationship Id="rId2" Type="http://schemas.openxmlformats.org/officeDocument/2006/relationships/image" Target="../media/image163.png"/><Relationship Id="rId1" Type="http://schemas.openxmlformats.org/officeDocument/2006/relationships/image" Target="../media/image162.jpeg"/></Relationships>
</file>

<file path=xl/drawings/_rels/drawing3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6.jpeg"/><Relationship Id="rId2" Type="http://schemas.openxmlformats.org/officeDocument/2006/relationships/image" Target="../media/image165.jpeg"/><Relationship Id="rId1" Type="http://schemas.openxmlformats.org/officeDocument/2006/relationships/image" Target="../media/image164.jpeg"/><Relationship Id="rId5" Type="http://schemas.openxmlformats.org/officeDocument/2006/relationships/image" Target="../media/image168.png"/><Relationship Id="rId4" Type="http://schemas.openxmlformats.org/officeDocument/2006/relationships/image" Target="../media/image167.jpe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jpeg"/><Relationship Id="rId1" Type="http://schemas.openxmlformats.org/officeDocument/2006/relationships/image" Target="../media/image8.jpe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6.png"/><Relationship Id="rId13" Type="http://schemas.openxmlformats.org/officeDocument/2006/relationships/image" Target="../media/image181.jpeg"/><Relationship Id="rId3" Type="http://schemas.openxmlformats.org/officeDocument/2006/relationships/image" Target="../media/image171.png"/><Relationship Id="rId7" Type="http://schemas.openxmlformats.org/officeDocument/2006/relationships/image" Target="../media/image175.jpeg"/><Relationship Id="rId12" Type="http://schemas.openxmlformats.org/officeDocument/2006/relationships/image" Target="../media/image180.png"/><Relationship Id="rId2" Type="http://schemas.openxmlformats.org/officeDocument/2006/relationships/image" Target="../media/image170.png"/><Relationship Id="rId16" Type="http://schemas.openxmlformats.org/officeDocument/2006/relationships/image" Target="../media/image184.jpeg"/><Relationship Id="rId1" Type="http://schemas.openxmlformats.org/officeDocument/2006/relationships/image" Target="../media/image169.png"/><Relationship Id="rId6" Type="http://schemas.openxmlformats.org/officeDocument/2006/relationships/image" Target="../media/image174.png"/><Relationship Id="rId11" Type="http://schemas.openxmlformats.org/officeDocument/2006/relationships/image" Target="../media/image179.png"/><Relationship Id="rId5" Type="http://schemas.openxmlformats.org/officeDocument/2006/relationships/image" Target="../media/image173.png"/><Relationship Id="rId15" Type="http://schemas.openxmlformats.org/officeDocument/2006/relationships/image" Target="../media/image183.png"/><Relationship Id="rId10" Type="http://schemas.openxmlformats.org/officeDocument/2006/relationships/image" Target="../media/image178.jpeg"/><Relationship Id="rId4" Type="http://schemas.openxmlformats.org/officeDocument/2006/relationships/image" Target="../media/image172.jpeg"/><Relationship Id="rId9" Type="http://schemas.openxmlformats.org/officeDocument/2006/relationships/image" Target="../media/image177.png"/><Relationship Id="rId14" Type="http://schemas.openxmlformats.org/officeDocument/2006/relationships/image" Target="../media/image182.png"/></Relationships>
</file>

<file path=xl/drawings/_rels/drawing4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6.png"/><Relationship Id="rId1" Type="http://schemas.openxmlformats.org/officeDocument/2006/relationships/image" Target="../media/image185.png"/></Relationships>
</file>

<file path=xl/drawings/_rels/drawing4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8.png"/><Relationship Id="rId1" Type="http://schemas.openxmlformats.org/officeDocument/2006/relationships/image" Target="../media/image187.jpeg"/></Relationships>
</file>

<file path=xl/drawings/_rels/drawing4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1.png"/><Relationship Id="rId2" Type="http://schemas.openxmlformats.org/officeDocument/2006/relationships/image" Target="../media/image190.png"/><Relationship Id="rId1" Type="http://schemas.openxmlformats.org/officeDocument/2006/relationships/image" Target="../media/image189.png"/><Relationship Id="rId4" Type="http://schemas.openxmlformats.org/officeDocument/2006/relationships/image" Target="../media/image192.png"/></Relationships>
</file>

<file path=xl/drawings/_rels/drawing4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95.png"/><Relationship Id="rId2" Type="http://schemas.openxmlformats.org/officeDocument/2006/relationships/image" Target="../media/image194.png"/><Relationship Id="rId1" Type="http://schemas.openxmlformats.org/officeDocument/2006/relationships/image" Target="../media/image193.png"/><Relationship Id="rId5" Type="http://schemas.openxmlformats.org/officeDocument/2006/relationships/image" Target="../media/image197.png"/><Relationship Id="rId4" Type="http://schemas.openxmlformats.org/officeDocument/2006/relationships/image" Target="../media/image196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5.png"/><Relationship Id="rId13" Type="http://schemas.openxmlformats.org/officeDocument/2006/relationships/image" Target="../media/image210.png"/><Relationship Id="rId18" Type="http://schemas.openxmlformats.org/officeDocument/2006/relationships/image" Target="../media/image215.png"/><Relationship Id="rId3" Type="http://schemas.openxmlformats.org/officeDocument/2006/relationships/image" Target="../media/image200.jpeg"/><Relationship Id="rId21" Type="http://schemas.openxmlformats.org/officeDocument/2006/relationships/image" Target="../media/image218.png"/><Relationship Id="rId7" Type="http://schemas.openxmlformats.org/officeDocument/2006/relationships/image" Target="../media/image204.png"/><Relationship Id="rId12" Type="http://schemas.openxmlformats.org/officeDocument/2006/relationships/image" Target="../media/image209.png"/><Relationship Id="rId17" Type="http://schemas.openxmlformats.org/officeDocument/2006/relationships/image" Target="../media/image214.png"/><Relationship Id="rId2" Type="http://schemas.openxmlformats.org/officeDocument/2006/relationships/image" Target="../media/image199.png"/><Relationship Id="rId16" Type="http://schemas.openxmlformats.org/officeDocument/2006/relationships/image" Target="../media/image213.jpeg"/><Relationship Id="rId20" Type="http://schemas.openxmlformats.org/officeDocument/2006/relationships/image" Target="../media/image217.png"/><Relationship Id="rId1" Type="http://schemas.openxmlformats.org/officeDocument/2006/relationships/image" Target="../media/image198.jpeg"/><Relationship Id="rId6" Type="http://schemas.openxmlformats.org/officeDocument/2006/relationships/image" Target="../media/image203.png"/><Relationship Id="rId11" Type="http://schemas.openxmlformats.org/officeDocument/2006/relationships/image" Target="../media/image208.png"/><Relationship Id="rId5" Type="http://schemas.openxmlformats.org/officeDocument/2006/relationships/image" Target="../media/image202.png"/><Relationship Id="rId15" Type="http://schemas.openxmlformats.org/officeDocument/2006/relationships/image" Target="../media/image212.png"/><Relationship Id="rId10" Type="http://schemas.openxmlformats.org/officeDocument/2006/relationships/image" Target="../media/image207.png"/><Relationship Id="rId19" Type="http://schemas.openxmlformats.org/officeDocument/2006/relationships/image" Target="../media/image216.jpeg"/><Relationship Id="rId4" Type="http://schemas.openxmlformats.org/officeDocument/2006/relationships/image" Target="../media/image201.png"/><Relationship Id="rId9" Type="http://schemas.openxmlformats.org/officeDocument/2006/relationships/image" Target="../media/image206.jpeg"/><Relationship Id="rId14" Type="http://schemas.openxmlformats.org/officeDocument/2006/relationships/image" Target="../media/image21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eg"/><Relationship Id="rId1" Type="http://schemas.openxmlformats.org/officeDocument/2006/relationships/image" Target="../media/image11.jpeg"/><Relationship Id="rId6" Type="http://schemas.openxmlformats.org/officeDocument/2006/relationships/image" Target="../media/image16.jpeg"/><Relationship Id="rId5" Type="http://schemas.openxmlformats.org/officeDocument/2006/relationships/image" Target="../media/image15.jpeg"/><Relationship Id="rId4" Type="http://schemas.openxmlformats.org/officeDocument/2006/relationships/image" Target="../media/image14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eg"/><Relationship Id="rId1" Type="http://schemas.openxmlformats.org/officeDocument/2006/relationships/image" Target="../media/image17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jpeg"/><Relationship Id="rId2" Type="http://schemas.openxmlformats.org/officeDocument/2006/relationships/image" Target="../media/image20.jpeg"/><Relationship Id="rId1" Type="http://schemas.openxmlformats.org/officeDocument/2006/relationships/image" Target="../media/image19.jpe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23.jpeg"/><Relationship Id="rId1" Type="http://schemas.openxmlformats.org/officeDocument/2006/relationships/image" Target="../media/image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1</xdr:col>
      <xdr:colOff>4114800</xdr:colOff>
      <xdr:row>15</xdr:row>
      <xdr:rowOff>106680</xdr:rowOff>
    </xdr:to>
    <xdr:pic>
      <xdr:nvPicPr>
        <xdr:cNvPr id="3073" name="Picture 1" descr="D:\QQ\517519840\Image\Image1\WE6ECR`OE(WM{FCIBXZ}DO8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365760"/>
          <a:ext cx="5440680" cy="2118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</xdr:col>
      <xdr:colOff>4152900</xdr:colOff>
      <xdr:row>29</xdr:row>
      <xdr:rowOff>114300</xdr:rowOff>
    </xdr:to>
    <xdr:pic>
      <xdr:nvPicPr>
        <xdr:cNvPr id="3074" name="Picture 2" descr="D:\QQ\517519840\Image\Image1\HIN`VH7HE59_B{5O4H@XXC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43200"/>
          <a:ext cx="5478780" cy="2308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4015740</xdr:colOff>
      <xdr:row>42</xdr:row>
      <xdr:rowOff>114300</xdr:rowOff>
    </xdr:to>
    <xdr:pic>
      <xdr:nvPicPr>
        <xdr:cNvPr id="3075" name="Picture 3" descr="D:\QQ\517519840\Image\Image1\X]Q6Z7${17{W)X$3IC70DU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120640"/>
          <a:ext cx="5341620" cy="2308860"/>
        </a:xfrm>
        <a:prstGeom prst="rect">
          <a:avLst/>
        </a:prstGeom>
        <a:noFill/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68580</xdr:colOff>
      <xdr:row>6</xdr:row>
      <xdr:rowOff>83820</xdr:rowOff>
    </xdr:from>
    <xdr:to>
      <xdr:col>12</xdr:col>
      <xdr:colOff>441960</xdr:colOff>
      <xdr:row>33</xdr:row>
      <xdr:rowOff>129540</xdr:rowOff>
    </xdr:to>
    <xdr:pic>
      <xdr:nvPicPr>
        <xdr:cNvPr id="4099" name="Picture 3" descr="D:\QQ\517519840\Image\]TLP{V4UK%1H29NU}]2KL3R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8580" y="2644140"/>
          <a:ext cx="7840980" cy="49834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91440</xdr:rowOff>
    </xdr:from>
    <xdr:to>
      <xdr:col>8</xdr:col>
      <xdr:colOff>16804</xdr:colOff>
      <xdr:row>47</xdr:row>
      <xdr:rowOff>137160</xdr:rowOff>
    </xdr:to>
    <xdr:pic>
      <xdr:nvPicPr>
        <xdr:cNvPr id="4100" name="Picture 4" descr="D:\QQ\517519840\Image\Image1\$GOPZG8O{DS80JO_C7ZBEF9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8503920"/>
          <a:ext cx="5046004" cy="1874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50</xdr:row>
      <xdr:rowOff>0</xdr:rowOff>
    </xdr:from>
    <xdr:to>
      <xdr:col>9</xdr:col>
      <xdr:colOff>99060</xdr:colOff>
      <xdr:row>70</xdr:row>
      <xdr:rowOff>38100</xdr:rowOff>
    </xdr:to>
    <xdr:pic>
      <xdr:nvPicPr>
        <xdr:cNvPr id="4106" name="Picture 10" descr="C:\Users\dell\AppData\Roaming\Tencent\Users\517519840\QQ\WinTemp\RichOle\CMKV5}DP)[N2E~](H{~_]@1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4919960"/>
          <a:ext cx="5737860" cy="3695700"/>
        </a:xfrm>
        <a:prstGeom prst="rect">
          <a:avLst/>
        </a:prstGeom>
        <a:noFill/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10</xdr:col>
      <xdr:colOff>457200</xdr:colOff>
      <xdr:row>36</xdr:row>
      <xdr:rowOff>0</xdr:rowOff>
    </xdr:to>
    <xdr:pic>
      <xdr:nvPicPr>
        <xdr:cNvPr id="6145" name="Picture 1" descr="C:\Users\dell\AppData\Roaming\Tencent\Users\517519840\QQ\WinTemp\RichOle\4WORL]P21$AJ)KOA}P9%RT8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7269480" cy="5486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0</xdr:col>
      <xdr:colOff>45720</xdr:colOff>
      <xdr:row>37</xdr:row>
      <xdr:rowOff>7620</xdr:rowOff>
    </xdr:to>
    <xdr:pic>
      <xdr:nvPicPr>
        <xdr:cNvPr id="6146" name="Picture 2" descr="https://www.peterthomasroth.com/images/spacer.gif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583680"/>
          <a:ext cx="45720" cy="7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2</xdr:col>
      <xdr:colOff>556260</xdr:colOff>
      <xdr:row>47</xdr:row>
      <xdr:rowOff>129540</xdr:rowOff>
    </xdr:to>
    <xdr:pic>
      <xdr:nvPicPr>
        <xdr:cNvPr id="6147" name="Picture 3" descr="C:\Users\dell\AppData\Roaming\Tencent\Users\517519840\QQ\WinTemp\RichOle\4T)C(ZY%)99[~L(SGK_T`BD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r="3824"/>
        <a:stretch>
          <a:fillRect/>
        </a:stretch>
      </xdr:blipFill>
      <xdr:spPr bwMode="auto">
        <a:xfrm>
          <a:off x="0" y="6949440"/>
          <a:ext cx="2491740" cy="1775460"/>
        </a:xfrm>
        <a:prstGeom prst="rect">
          <a:avLst/>
        </a:prstGeom>
        <a:noFill/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5</xdr:col>
      <xdr:colOff>30480</xdr:colOff>
      <xdr:row>19</xdr:row>
      <xdr:rowOff>97956</xdr:rowOff>
    </xdr:to>
    <xdr:pic>
      <xdr:nvPicPr>
        <xdr:cNvPr id="4097" name="Picture 1" descr="D:\QQ\517519840\Image\OP1F`XMO[YQSF)SF]BYALJ3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3901440" cy="2475396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19</xdr:row>
      <xdr:rowOff>137160</xdr:rowOff>
    </xdr:from>
    <xdr:to>
      <xdr:col>4</xdr:col>
      <xdr:colOff>541020</xdr:colOff>
      <xdr:row>47</xdr:row>
      <xdr:rowOff>160020</xdr:rowOff>
    </xdr:to>
    <xdr:pic>
      <xdr:nvPicPr>
        <xdr:cNvPr id="3" name="Picture 1" descr="C:\Users\dell\AppData\Roaming\Tencent\Users\517519840\QQ\WinTemp\RichOle\WZ8TD)34A5D3${_EQ`W5DQ2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611880"/>
          <a:ext cx="3802380" cy="5143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53340</xdr:colOff>
      <xdr:row>47</xdr:row>
      <xdr:rowOff>83820</xdr:rowOff>
    </xdr:from>
    <xdr:to>
      <xdr:col>4</xdr:col>
      <xdr:colOff>411480</xdr:colOff>
      <xdr:row>54</xdr:row>
      <xdr:rowOff>38100</xdr:rowOff>
    </xdr:to>
    <xdr:pic>
      <xdr:nvPicPr>
        <xdr:cNvPr id="4" name="Picture 2" descr="C:\Users\dell\AppData\Roaming\Tencent\Users\517519840\QQ\WinTemp\RichOle\`R$OKGZ8V~J]LHKRWS}MWTO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3340" y="8679180"/>
          <a:ext cx="3619500" cy="123444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365760</xdr:colOff>
      <xdr:row>42</xdr:row>
      <xdr:rowOff>129540</xdr:rowOff>
    </xdr:from>
    <xdr:to>
      <xdr:col>8</xdr:col>
      <xdr:colOff>129540</xdr:colOff>
      <xdr:row>54</xdr:row>
      <xdr:rowOff>38100</xdr:rowOff>
    </xdr:to>
    <xdr:pic>
      <xdr:nvPicPr>
        <xdr:cNvPr id="5" name="Picture 3" descr="C:\Users\dell\AppData\Roaming\Tencent\Users\517519840\QQ\WinTemp\RichOle\1%)89X~MJ74J[N%HZ_7]56F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627120" y="7810500"/>
          <a:ext cx="2202180" cy="2103120"/>
        </a:xfrm>
        <a:prstGeom prst="rect">
          <a:avLst/>
        </a:prstGeom>
        <a:noFill/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571500</xdr:colOff>
      <xdr:row>22</xdr:row>
      <xdr:rowOff>45720</xdr:rowOff>
    </xdr:from>
    <xdr:to>
      <xdr:col>8</xdr:col>
      <xdr:colOff>83820</xdr:colOff>
      <xdr:row>32</xdr:row>
      <xdr:rowOff>53340</xdr:rowOff>
    </xdr:to>
    <xdr:pic>
      <xdr:nvPicPr>
        <xdr:cNvPr id="5125" name="Picture 5" descr="C:\Users\dell\AppData\Roaming\Tencent\Users\517519840\QQ\WinTemp\RichOle\7`C(D{2~G{X@9FS1[GCPRNM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733800" y="4069080"/>
          <a:ext cx="1341120" cy="18364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5</xdr:col>
      <xdr:colOff>594360</xdr:colOff>
      <xdr:row>29</xdr:row>
      <xdr:rowOff>167640</xdr:rowOff>
    </xdr:to>
    <xdr:pic>
      <xdr:nvPicPr>
        <xdr:cNvPr id="5126" name="Picture 6" descr="D:\QQ\517519840\Image\Image1\6)8FM38}`@`W3LLWB@YJQ_Q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914400"/>
          <a:ext cx="3756660" cy="4556760"/>
        </a:xfrm>
        <a:prstGeom prst="rect">
          <a:avLst/>
        </a:prstGeom>
        <a:noFill/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7</xdr:col>
      <xdr:colOff>426720</xdr:colOff>
      <xdr:row>21</xdr:row>
      <xdr:rowOff>22860</xdr:rowOff>
    </xdr:to>
    <xdr:pic>
      <xdr:nvPicPr>
        <xdr:cNvPr id="6145" name="Picture 1" descr="D:\QQ\517519840\Image\Image1\AQPQ90MBWUYYPAQLSG@X1QP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5676900" cy="276606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220980</xdr:colOff>
      <xdr:row>5</xdr:row>
      <xdr:rowOff>60960</xdr:rowOff>
    </xdr:from>
    <xdr:to>
      <xdr:col>12</xdr:col>
      <xdr:colOff>281940</xdr:colOff>
      <xdr:row>28</xdr:row>
      <xdr:rowOff>152400</xdr:rowOff>
    </xdr:to>
    <xdr:pic>
      <xdr:nvPicPr>
        <xdr:cNvPr id="6146" name="Picture 2" descr="C:\Users\dell\AppData\Roaming\Tencent\Users\517519840\QQ\WinTemp\RichOle\_FB{[BQ@L`MB~M)SK@36%MO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707380" y="975360"/>
          <a:ext cx="1889760" cy="4297680"/>
        </a:xfrm>
        <a:prstGeom prst="rect">
          <a:avLst/>
        </a:prstGeom>
        <a:noFill/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7</xdr:col>
      <xdr:colOff>358140</xdr:colOff>
      <xdr:row>22</xdr:row>
      <xdr:rowOff>38100</xdr:rowOff>
    </xdr:to>
    <xdr:pic>
      <xdr:nvPicPr>
        <xdr:cNvPr id="7169" name="Picture 1" descr="C:\Users\dell\AppData\Roaming\Tencent\Users\517519840\QQ\WinTemp\RichOle\HB9U9KIOA$XF][{G)C[}[4H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6515100" cy="29641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297180</xdr:colOff>
      <xdr:row>23</xdr:row>
      <xdr:rowOff>114300</xdr:rowOff>
    </xdr:from>
    <xdr:to>
      <xdr:col>15</xdr:col>
      <xdr:colOff>266700</xdr:colOff>
      <xdr:row>34</xdr:row>
      <xdr:rowOff>106680</xdr:rowOff>
    </xdr:to>
    <xdr:pic>
      <xdr:nvPicPr>
        <xdr:cNvPr id="7170" name="Picture 2" descr="C:\Users\dell\AppData\Roaming\Tencent\Users\517519840\QQ\WinTemp\RichOle\0SAG7OJ0ZSFG%GYJB8_8%7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5173980" y="4320540"/>
          <a:ext cx="4236720" cy="2004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236220</xdr:colOff>
      <xdr:row>28</xdr:row>
      <xdr:rowOff>76200</xdr:rowOff>
    </xdr:from>
    <xdr:to>
      <xdr:col>3</xdr:col>
      <xdr:colOff>312420</xdr:colOff>
      <xdr:row>49</xdr:row>
      <xdr:rowOff>7620</xdr:rowOff>
    </xdr:to>
    <xdr:pic>
      <xdr:nvPicPr>
        <xdr:cNvPr id="7171" name="Picture 3" descr="D:\QQ\517519840\Image\Image1\8$1K[D%9JU}06{NXZ6RY)_0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236220" y="5196840"/>
          <a:ext cx="3794760" cy="3771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45</xdr:row>
      <xdr:rowOff>0</xdr:rowOff>
    </xdr:from>
    <xdr:to>
      <xdr:col>3</xdr:col>
      <xdr:colOff>75252</xdr:colOff>
      <xdr:row>58</xdr:row>
      <xdr:rowOff>30480</xdr:rowOff>
    </xdr:to>
    <xdr:pic>
      <xdr:nvPicPr>
        <xdr:cNvPr id="7172" name="Picture 4" descr="C:\Users\dell\AppData\Roaming\Tencent\Users\517519840\QQ\WinTemp\RichOle\9[12K5A4V}GGGQZ~2$Q}BFS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8229600"/>
          <a:ext cx="3793812" cy="2407920"/>
        </a:xfrm>
        <a:prstGeom prst="rect">
          <a:avLst/>
        </a:prstGeom>
        <a:noFill/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5</xdr:col>
      <xdr:colOff>402373</xdr:colOff>
      <xdr:row>20</xdr:row>
      <xdr:rowOff>83820</xdr:rowOff>
    </xdr:to>
    <xdr:pic>
      <xdr:nvPicPr>
        <xdr:cNvPr id="8193" name="Picture 1" descr="C:\Users\dell\AppData\Roaming\Tencent\Users\517519840\QQ\WinTemp\RichOle\Y5P]AK`%]ROTUU7BS1B1MC6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166653" cy="28270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</xdr:colOff>
      <xdr:row>22</xdr:row>
      <xdr:rowOff>0</xdr:rowOff>
    </xdr:from>
    <xdr:to>
      <xdr:col>4</xdr:col>
      <xdr:colOff>510541</xdr:colOff>
      <xdr:row>36</xdr:row>
      <xdr:rowOff>153799</xdr:rowOff>
    </xdr:to>
    <xdr:pic>
      <xdr:nvPicPr>
        <xdr:cNvPr id="8194" name="Picture 2" descr="C:\Users\dell\AppData\Roaming\Tencent\Users\517519840\QQ\WinTemp\RichOle\6VD5WLK9_{PDWSW0KWPE44S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" y="4023360"/>
          <a:ext cx="3665220" cy="271411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37</xdr:row>
      <xdr:rowOff>182879</xdr:rowOff>
    </xdr:from>
    <xdr:to>
      <xdr:col>5</xdr:col>
      <xdr:colOff>335280</xdr:colOff>
      <xdr:row>51</xdr:row>
      <xdr:rowOff>83984</xdr:rowOff>
    </xdr:to>
    <xdr:pic>
      <xdr:nvPicPr>
        <xdr:cNvPr id="8195" name="Picture 3" descr="C:\Users\dell\AppData\Roaming\Tencent\Users\517519840\QQ\WinTemp\RichOle\VV~)FUOT@O41FV`N3B[%TT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949439"/>
          <a:ext cx="4099560" cy="2461425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586739</xdr:colOff>
      <xdr:row>67</xdr:row>
      <xdr:rowOff>91440</xdr:rowOff>
    </xdr:from>
    <xdr:to>
      <xdr:col>14</xdr:col>
      <xdr:colOff>319851</xdr:colOff>
      <xdr:row>77</xdr:row>
      <xdr:rowOff>160020</xdr:rowOff>
    </xdr:to>
    <xdr:pic>
      <xdr:nvPicPr>
        <xdr:cNvPr id="819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853939" y="12382500"/>
          <a:ext cx="4000312" cy="18973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45720</xdr:colOff>
      <xdr:row>52</xdr:row>
      <xdr:rowOff>106680</xdr:rowOff>
    </xdr:from>
    <xdr:to>
      <xdr:col>6</xdr:col>
      <xdr:colOff>175260</xdr:colOff>
      <xdr:row>80</xdr:row>
      <xdr:rowOff>76200</xdr:rowOff>
    </xdr:to>
    <xdr:pic>
      <xdr:nvPicPr>
        <xdr:cNvPr id="8200" name="Picture 8" descr="C:\Users\dell\AppData\Roaming\Tencent\Users\517519840\QQ\WinTemp\RichOle\{~C(DC9[]L9M}3QR88U@08Q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5720" y="9616440"/>
          <a:ext cx="4503420" cy="512826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205740</xdr:colOff>
      <xdr:row>6</xdr:row>
      <xdr:rowOff>181610</xdr:rowOff>
    </xdr:from>
    <xdr:to>
      <xdr:col>17</xdr:col>
      <xdr:colOff>281940</xdr:colOff>
      <xdr:row>32</xdr:row>
      <xdr:rowOff>106680</xdr:rowOff>
    </xdr:to>
    <xdr:pic>
      <xdr:nvPicPr>
        <xdr:cNvPr id="8201" name="Picture 9" descr="C:\Users\dell\AppData\Roaming\Tencent\Users\517519840\QQ\WinTemp\RichOle\Z@XSVO56[[G[52K@WLUP$%U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8130540" y="1278890"/>
          <a:ext cx="2514600" cy="467995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7</xdr:row>
      <xdr:rowOff>53340</xdr:rowOff>
    </xdr:from>
    <xdr:to>
      <xdr:col>13</xdr:col>
      <xdr:colOff>209953</xdr:colOff>
      <xdr:row>28</xdr:row>
      <xdr:rowOff>160020</xdr:rowOff>
    </xdr:to>
    <xdr:pic>
      <xdr:nvPicPr>
        <xdr:cNvPr id="8202" name="Picture 10" descr="C:\Users\dell\AppData\Roaming\Tencent\Users\517519840\QQ\WinTemp\RichOle\UV3V~NH@)`C)@8CXQT)JXRK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4267200" y="1333500"/>
          <a:ext cx="3867553" cy="39471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82</xdr:row>
      <xdr:rowOff>0</xdr:rowOff>
    </xdr:from>
    <xdr:to>
      <xdr:col>6</xdr:col>
      <xdr:colOff>198120</xdr:colOff>
      <xdr:row>96</xdr:row>
      <xdr:rowOff>167640</xdr:rowOff>
    </xdr:to>
    <xdr:pic>
      <xdr:nvPicPr>
        <xdr:cNvPr id="8203" name="Picture 11" descr="C:\Users\dell\AppData\Roaming\Tencent\Users\517519840\QQ\WinTemp\RichOle\{OF)`H2XF88RQOZZ$19694I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5034260"/>
          <a:ext cx="4572000" cy="27279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304800</xdr:colOff>
      <xdr:row>82</xdr:row>
      <xdr:rowOff>106680</xdr:rowOff>
    </xdr:from>
    <xdr:to>
      <xdr:col>10</xdr:col>
      <xdr:colOff>213360</xdr:colOff>
      <xdr:row>96</xdr:row>
      <xdr:rowOff>30480</xdr:rowOff>
    </xdr:to>
    <xdr:pic>
      <xdr:nvPicPr>
        <xdr:cNvPr id="8204" name="Picture 12" descr="C:\Users\dell\AppData\Roaming\Tencent\Users\517519840\QQ\WinTemp\RichOle\(~P7(F~(J782GMPOW{3M72P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678680" y="15140940"/>
          <a:ext cx="2346960" cy="24841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205740</xdr:colOff>
      <xdr:row>83</xdr:row>
      <xdr:rowOff>0</xdr:rowOff>
    </xdr:from>
    <xdr:to>
      <xdr:col>16</xdr:col>
      <xdr:colOff>91440</xdr:colOff>
      <xdr:row>98</xdr:row>
      <xdr:rowOff>60960</xdr:rowOff>
    </xdr:to>
    <xdr:pic>
      <xdr:nvPicPr>
        <xdr:cNvPr id="8205" name="Picture 13" descr="C:\Users\dell\AppData\Roaming\Tencent\Users\517519840\QQ\WinTemp\RichOle\1~HJ2W0DRFY`KOV]2[~26@U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7018020" y="15217140"/>
          <a:ext cx="3543300" cy="2842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98</xdr:row>
      <xdr:rowOff>0</xdr:rowOff>
    </xdr:from>
    <xdr:to>
      <xdr:col>3</xdr:col>
      <xdr:colOff>487680</xdr:colOff>
      <xdr:row>112</xdr:row>
      <xdr:rowOff>175260</xdr:rowOff>
    </xdr:to>
    <xdr:pic>
      <xdr:nvPicPr>
        <xdr:cNvPr id="8206" name="Picture 14" descr="D:\QQ\517519840\Image\Image1\(1QLK5K5W8}_KWB9KAXD45N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17998440"/>
          <a:ext cx="3032760" cy="2735580"/>
        </a:xfrm>
        <a:prstGeom prst="rect">
          <a:avLst/>
        </a:prstGeom>
        <a:noFill/>
      </xdr:spPr>
    </xdr:pic>
    <xdr:clientData/>
  </xdr:twoCellAnchor>
  <xdr:twoCellAnchor editAs="oneCell">
    <xdr:from>
      <xdr:col>4</xdr:col>
      <xdr:colOff>0</xdr:colOff>
      <xdr:row>97</xdr:row>
      <xdr:rowOff>121920</xdr:rowOff>
    </xdr:from>
    <xdr:to>
      <xdr:col>8</xdr:col>
      <xdr:colOff>487680</xdr:colOff>
      <xdr:row>126</xdr:row>
      <xdr:rowOff>152400</xdr:rowOff>
    </xdr:to>
    <xdr:pic>
      <xdr:nvPicPr>
        <xdr:cNvPr id="8207" name="Picture 15" descr="C:\Users\dell\AppData\Roaming\Tencent\Users\517519840\QQ\WinTemp\RichOle\6$@1VIB6)VZAUS5`2N}F2K8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3154680" y="17899380"/>
          <a:ext cx="2926080" cy="537210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116</xdr:row>
      <xdr:rowOff>0</xdr:rowOff>
    </xdr:from>
    <xdr:to>
      <xdr:col>15</xdr:col>
      <xdr:colOff>0</xdr:colOff>
      <xdr:row>126</xdr:row>
      <xdr:rowOff>99060</xdr:rowOff>
    </xdr:to>
    <xdr:pic>
      <xdr:nvPicPr>
        <xdr:cNvPr id="8208" name="Picture 16" descr="C:\Users\dell\AppData\Roaming\Tencent\Users\517519840\QQ\WinTemp\RichOle\B__`0$B[RV)4}_V7T_Q7SJL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6202680" y="21252180"/>
          <a:ext cx="3657600" cy="1927860"/>
        </a:xfrm>
        <a:prstGeom prst="rect">
          <a:avLst/>
        </a:prstGeom>
        <a:noFill/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</xdr:colOff>
      <xdr:row>5</xdr:row>
      <xdr:rowOff>129540</xdr:rowOff>
    </xdr:from>
    <xdr:to>
      <xdr:col>4</xdr:col>
      <xdr:colOff>121920</xdr:colOff>
      <xdr:row>15</xdr:row>
      <xdr:rowOff>139428</xdr:rowOff>
    </xdr:to>
    <xdr:pic>
      <xdr:nvPicPr>
        <xdr:cNvPr id="2049" name="Picture 1" descr="D:\QQ\517519840\Image\Image1\BJE1G5$XL6CUUR@IIAEB[XN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5240" y="1043940"/>
          <a:ext cx="3261360" cy="1838688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7620</xdr:rowOff>
    </xdr:from>
    <xdr:to>
      <xdr:col>4</xdr:col>
      <xdr:colOff>204893</xdr:colOff>
      <xdr:row>27</xdr:row>
      <xdr:rowOff>68580</xdr:rowOff>
    </xdr:to>
    <xdr:pic>
      <xdr:nvPicPr>
        <xdr:cNvPr id="2050" name="Picture 2" descr="D:\QQ\517519840\Image\Image1\I6VF6WJ(BBZK@_X(S3%%HJ9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116580"/>
          <a:ext cx="3359573" cy="18897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28</xdr:row>
      <xdr:rowOff>99060</xdr:rowOff>
    </xdr:from>
    <xdr:to>
      <xdr:col>4</xdr:col>
      <xdr:colOff>129540</xdr:colOff>
      <xdr:row>38</xdr:row>
      <xdr:rowOff>71621</xdr:rowOff>
    </xdr:to>
    <xdr:pic>
      <xdr:nvPicPr>
        <xdr:cNvPr id="2051" name="Picture 3" descr="D:\QQ\517519840\Image\Image1\3@5)U@2ABDU9{%OIQ9[W]AK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219700"/>
          <a:ext cx="3284220" cy="180136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83820</xdr:rowOff>
    </xdr:from>
    <xdr:to>
      <xdr:col>3</xdr:col>
      <xdr:colOff>586740</xdr:colOff>
      <xdr:row>49</xdr:row>
      <xdr:rowOff>146931</xdr:rowOff>
    </xdr:to>
    <xdr:pic>
      <xdr:nvPicPr>
        <xdr:cNvPr id="2052" name="Picture 4" descr="D:\QQ\517519840\Image\Image1\%%R2ZG$H8U32VB5VV6WRNGU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7399020"/>
          <a:ext cx="3131820" cy="1709031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322168</xdr:colOff>
      <xdr:row>6</xdr:row>
      <xdr:rowOff>30480</xdr:rowOff>
    </xdr:from>
    <xdr:to>
      <xdr:col>14</xdr:col>
      <xdr:colOff>548640</xdr:colOff>
      <xdr:row>23</xdr:row>
      <xdr:rowOff>159400</xdr:rowOff>
    </xdr:to>
    <xdr:pic>
      <xdr:nvPicPr>
        <xdr:cNvPr id="2054" name="Picture 6" descr="C:\Users\dell\AppData\Roaming\Tencent\Users\517519840\QQ\WinTemp\RichOle\_`4L%@788X)1ML%9771KC90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4589368" y="1127760"/>
          <a:ext cx="4493672" cy="3237880"/>
        </a:xfrm>
        <a:prstGeom prst="rect">
          <a:avLst/>
        </a:prstGeom>
        <a:noFill/>
      </xdr:spPr>
    </xdr:pic>
    <xdr:clientData/>
  </xdr:twoCellAnchor>
  <xdr:twoCellAnchor editAs="oneCell">
    <xdr:from>
      <xdr:col>20</xdr:col>
      <xdr:colOff>0</xdr:colOff>
      <xdr:row>4</xdr:row>
      <xdr:rowOff>0</xdr:rowOff>
    </xdr:from>
    <xdr:to>
      <xdr:col>20</xdr:col>
      <xdr:colOff>304800</xdr:colOff>
      <xdr:row>5</xdr:row>
      <xdr:rowOff>121920</xdr:rowOff>
    </xdr:to>
    <xdr:sp macro="" textlink="">
      <xdr:nvSpPr>
        <xdr:cNvPr id="2055" name="AutoShape 7" descr="C:\Users\dell\AppData\Roaming\Tencent\Users\517519840\QQ\WinTemp\RichOle\5W_[HW$(3%F194PK~H7D.jpg"/>
        <xdr:cNvSpPr>
          <a:spLocks noChangeAspect="1" noChangeArrowheads="1"/>
        </xdr:cNvSpPr>
      </xdr:nvSpPr>
      <xdr:spPr bwMode="auto">
        <a:xfrm>
          <a:off x="12031980" y="7315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20</xdr:col>
      <xdr:colOff>0</xdr:colOff>
      <xdr:row>4</xdr:row>
      <xdr:rowOff>0</xdr:rowOff>
    </xdr:from>
    <xdr:to>
      <xdr:col>20</xdr:col>
      <xdr:colOff>304800</xdr:colOff>
      <xdr:row>5</xdr:row>
      <xdr:rowOff>121920</xdr:rowOff>
    </xdr:to>
    <xdr:sp macro="" textlink="">
      <xdr:nvSpPr>
        <xdr:cNvPr id="2056" name="AutoShape 8" descr="C:\Users\dell\AppData\Roaming\Tencent\Users\517519840\QQ\WinTemp\RichOle\5W_[HW$(3%F194PK~H7D.jpg"/>
        <xdr:cNvSpPr>
          <a:spLocks noChangeAspect="1" noChangeArrowheads="1"/>
        </xdr:cNvSpPr>
      </xdr:nvSpPr>
      <xdr:spPr bwMode="auto">
        <a:xfrm>
          <a:off x="12031980" y="7315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13</xdr:col>
      <xdr:colOff>0</xdr:colOff>
      <xdr:row>38</xdr:row>
      <xdr:rowOff>0</xdr:rowOff>
    </xdr:from>
    <xdr:to>
      <xdr:col>16</xdr:col>
      <xdr:colOff>38100</xdr:colOff>
      <xdr:row>48</xdr:row>
      <xdr:rowOff>38100</xdr:rowOff>
    </xdr:to>
    <xdr:sp macro="" textlink="">
      <xdr:nvSpPr>
        <xdr:cNvPr id="2057" name="AutoShape 9" descr="C:\Users\dell\AppData\Roaming\Tencent\Users\517519840\QQ\WinTemp\RichOle\5W_[HW$(3%F194PK~H7D.jpg"/>
        <xdr:cNvSpPr>
          <a:spLocks noChangeAspect="1" noChangeArrowheads="1"/>
        </xdr:cNvSpPr>
      </xdr:nvSpPr>
      <xdr:spPr bwMode="auto">
        <a:xfrm>
          <a:off x="7764780" y="6949440"/>
          <a:ext cx="1866900" cy="1866900"/>
        </a:xfrm>
        <a:prstGeom prst="rect">
          <a:avLst/>
        </a:prstGeom>
        <a:noFill/>
      </xdr:spPr>
    </xdr:sp>
    <xdr:clientData/>
  </xdr:twoCellAnchor>
  <xdr:twoCellAnchor editAs="oneCell">
    <xdr:from>
      <xdr:col>9</xdr:col>
      <xdr:colOff>76200</xdr:colOff>
      <xdr:row>23</xdr:row>
      <xdr:rowOff>152400</xdr:rowOff>
    </xdr:from>
    <xdr:to>
      <xdr:col>14</xdr:col>
      <xdr:colOff>594360</xdr:colOff>
      <xdr:row>38</xdr:row>
      <xdr:rowOff>0</xdr:rowOff>
    </xdr:to>
    <xdr:pic>
      <xdr:nvPicPr>
        <xdr:cNvPr id="2058" name="Picture 10" descr="C:\Users\dell\AppData\Roaming\Tencent\Users\517519840\QQ\WinTemp\RichOle\89E~{0B2{D5BH{A79_AK$GB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402580" y="4358640"/>
          <a:ext cx="3726180" cy="25908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45720</xdr:colOff>
      <xdr:row>50</xdr:row>
      <xdr:rowOff>99060</xdr:rowOff>
    </xdr:from>
    <xdr:to>
      <xdr:col>4</xdr:col>
      <xdr:colOff>533400</xdr:colOff>
      <xdr:row>63</xdr:row>
      <xdr:rowOff>61908</xdr:rowOff>
    </xdr:to>
    <xdr:pic>
      <xdr:nvPicPr>
        <xdr:cNvPr id="2059" name="Picture 11" descr="C:\Users\dell\AppData\Roaming\Tencent\Users\517519840\QQ\WinTemp\RichOle\CC23[PW]}AS9G]YS5J5@252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45720" y="9243060"/>
          <a:ext cx="3642360" cy="2340288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457199</xdr:colOff>
      <xdr:row>40</xdr:row>
      <xdr:rowOff>108234</xdr:rowOff>
    </xdr:from>
    <xdr:to>
      <xdr:col>15</xdr:col>
      <xdr:colOff>200976</xdr:colOff>
      <xdr:row>49</xdr:row>
      <xdr:rowOff>144780</xdr:rowOff>
    </xdr:to>
    <xdr:pic>
      <xdr:nvPicPr>
        <xdr:cNvPr id="2060" name="Picture 12" descr="C:\Users\dell\AppData\Roaming\Tencent\Users\517519840\QQ\WinTemp\RichOle\}D]HTOJ5WJRQ~8E%V}J1O]Y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4724399" y="7423434"/>
          <a:ext cx="4620577" cy="1682466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45720</xdr:colOff>
      <xdr:row>50</xdr:row>
      <xdr:rowOff>68580</xdr:rowOff>
    </xdr:from>
    <xdr:to>
      <xdr:col>13</xdr:col>
      <xdr:colOff>7620</xdr:colOff>
      <xdr:row>63</xdr:row>
      <xdr:rowOff>12705</xdr:rowOff>
    </xdr:to>
    <xdr:pic>
      <xdr:nvPicPr>
        <xdr:cNvPr id="2061" name="Picture 13" descr="C:\Users\dell\AppData\Roaming\Tencent\Users\517519840\QQ\WinTemp\RichOle\G_Y$NHAE}Q~0ME%OXKQM_YO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922520" y="9212580"/>
          <a:ext cx="3009900" cy="2321565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65</xdr:row>
      <xdr:rowOff>0</xdr:rowOff>
    </xdr:from>
    <xdr:to>
      <xdr:col>4</xdr:col>
      <xdr:colOff>464820</xdr:colOff>
      <xdr:row>78</xdr:row>
      <xdr:rowOff>83043</xdr:rowOff>
    </xdr:to>
    <xdr:pic>
      <xdr:nvPicPr>
        <xdr:cNvPr id="2062" name="Picture 14" descr="C:\Users\dell\AppData\Roaming\Tencent\Users\517519840\QQ\WinTemp\RichOle\~GH$)P}5H)6`GB_GIW]SXQ8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11887200"/>
          <a:ext cx="3619500" cy="2460483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67</xdr:row>
      <xdr:rowOff>0</xdr:rowOff>
    </xdr:from>
    <xdr:to>
      <xdr:col>10</xdr:col>
      <xdr:colOff>480060</xdr:colOff>
      <xdr:row>76</xdr:row>
      <xdr:rowOff>106680</xdr:rowOff>
    </xdr:to>
    <xdr:pic>
      <xdr:nvPicPr>
        <xdr:cNvPr id="2063" name="Picture 15" descr="C:\Users\dell\AppData\Roaming\Tencent\Users\517519840\QQ\WinTemp\RichOle\85$_)VVD6~)7T45Q1Y%B%)3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3657600" y="12252960"/>
          <a:ext cx="2918460" cy="17526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266700</xdr:colOff>
      <xdr:row>65</xdr:row>
      <xdr:rowOff>144780</xdr:rowOff>
    </xdr:from>
    <xdr:to>
      <xdr:col>14</xdr:col>
      <xdr:colOff>342900</xdr:colOff>
      <xdr:row>77</xdr:row>
      <xdr:rowOff>76200</xdr:rowOff>
    </xdr:to>
    <xdr:pic>
      <xdr:nvPicPr>
        <xdr:cNvPr id="2065" name="Picture 17" descr="C:\Users\dell\AppData\Roaming\Tencent\Users\517519840\QQ\WinTemp\RichOle\MM@2@}HLRP876OIV8($L99R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972300" y="12031980"/>
          <a:ext cx="1905000" cy="2125980"/>
        </a:xfrm>
        <a:prstGeom prst="rect">
          <a:avLst/>
        </a:prstGeom>
        <a:noFill/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5</xdr:col>
      <xdr:colOff>198120</xdr:colOff>
      <xdr:row>23</xdr:row>
      <xdr:rowOff>7620</xdr:rowOff>
    </xdr:to>
    <xdr:pic>
      <xdr:nvPicPr>
        <xdr:cNvPr id="1025" name="Picture 1" descr="C:\Users\dell\AppData\Roaming\Tencent\Users\517519840\QQ\WinTemp\RichOle\KEZ_KVV9ZPF6CS65YU8~16J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645920"/>
          <a:ext cx="3962400" cy="31165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5</xdr:col>
      <xdr:colOff>236220</xdr:colOff>
      <xdr:row>47</xdr:row>
      <xdr:rowOff>160020</xdr:rowOff>
    </xdr:to>
    <xdr:pic>
      <xdr:nvPicPr>
        <xdr:cNvPr id="1026" name="Picture 2" descr="C:\Users\dell\AppData\Roaming\Tencent\Users\517519840\QQ\WinTemp\RichOle\Y{4%C]129L[BUPJ1A67PV11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937760"/>
          <a:ext cx="4000500" cy="4366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7</xdr:col>
      <xdr:colOff>426720</xdr:colOff>
      <xdr:row>78</xdr:row>
      <xdr:rowOff>167640</xdr:rowOff>
    </xdr:to>
    <xdr:pic>
      <xdr:nvPicPr>
        <xdr:cNvPr id="2049" name="Picture 1" descr="D:\QQ\517519840\Image\Image1\%(OJBW9B~FE3WZLL`U8EW~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961120"/>
          <a:ext cx="5410200" cy="54711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15</xdr:col>
      <xdr:colOff>0</xdr:colOff>
      <xdr:row>91</xdr:row>
      <xdr:rowOff>45720</xdr:rowOff>
    </xdr:to>
    <xdr:pic>
      <xdr:nvPicPr>
        <xdr:cNvPr id="2050" name="Picture 2" descr="C:\Users\dell\AppData\Roaming\Tencent\Users\517519840\QQ\WinTemp\RichOle\GEQ8@(BZFRATPV$N}OWL$EA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4630400"/>
          <a:ext cx="9860280" cy="2057400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5</xdr:col>
      <xdr:colOff>327660</xdr:colOff>
      <xdr:row>100</xdr:row>
      <xdr:rowOff>30480</xdr:rowOff>
    </xdr:to>
    <xdr:pic>
      <xdr:nvPicPr>
        <xdr:cNvPr id="2051" name="Picture 3" descr="C:\Users\dell\AppData\Roaming\Tencent\Users\517519840\QQ\WinTemp\RichOle\YCBW2NF%{@{3]](NW}49W8I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325880" y="16824960"/>
          <a:ext cx="2766060" cy="1493520"/>
        </a:xfrm>
        <a:prstGeom prst="rect">
          <a:avLst/>
        </a:prstGeom>
        <a:noFill/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12</xdr:col>
      <xdr:colOff>327660</xdr:colOff>
      <xdr:row>28</xdr:row>
      <xdr:rowOff>7620</xdr:rowOff>
    </xdr:to>
    <xdr:pic>
      <xdr:nvPicPr>
        <xdr:cNvPr id="3073" name="Picture 1" descr="C:\Users\dell\AppData\Roaming\Tencent\Users\517519840\QQ\WinTemp\RichOle\{%Y$4RUI2}`H7~1@Q_APUGV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8267700" cy="4213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29</xdr:row>
      <xdr:rowOff>0</xdr:rowOff>
    </xdr:from>
    <xdr:to>
      <xdr:col>8</xdr:col>
      <xdr:colOff>434340</xdr:colOff>
      <xdr:row>59</xdr:row>
      <xdr:rowOff>0</xdr:rowOff>
    </xdr:to>
    <xdr:pic>
      <xdr:nvPicPr>
        <xdr:cNvPr id="3074" name="Picture 2" descr="C:\Users\dell\AppData\Roaming\Tencent\Users\517519840\QQ\WinTemp\RichOle\8C}GPH$}(`S5`}EC36{D]9C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303520"/>
          <a:ext cx="5935980" cy="54864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53</xdr:row>
      <xdr:rowOff>0</xdr:rowOff>
    </xdr:from>
    <xdr:to>
      <xdr:col>14</xdr:col>
      <xdr:colOff>381000</xdr:colOff>
      <xdr:row>59</xdr:row>
      <xdr:rowOff>7620</xdr:rowOff>
    </xdr:to>
    <xdr:pic>
      <xdr:nvPicPr>
        <xdr:cNvPr id="3075" name="Picture 3" descr="C:\Users\dell\AppData\Roaming\Tencent\Users\517519840\QQ\WinTemp\RichOle\X$A]LJF2T)G8`VUR]AGRN3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0" y="9692640"/>
          <a:ext cx="2819400" cy="1104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11</xdr:col>
      <xdr:colOff>281940</xdr:colOff>
      <xdr:row>87</xdr:row>
      <xdr:rowOff>114300</xdr:rowOff>
    </xdr:to>
    <xdr:pic>
      <xdr:nvPicPr>
        <xdr:cNvPr id="3076" name="Picture 4" descr="C:\Users\dell\AppData\Roaming\Tencent\Users\517519840\QQ\WinTemp\RichOle\4U}J7AX7@SU5}K5`(W{[8`F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0972800"/>
          <a:ext cx="7612380" cy="5052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88</xdr:row>
      <xdr:rowOff>0</xdr:rowOff>
    </xdr:from>
    <xdr:to>
      <xdr:col>11</xdr:col>
      <xdr:colOff>251460</xdr:colOff>
      <xdr:row>110</xdr:row>
      <xdr:rowOff>175260</xdr:rowOff>
    </xdr:to>
    <xdr:pic>
      <xdr:nvPicPr>
        <xdr:cNvPr id="3077" name="Picture 5" descr="C:\Users\dell\AppData\Roaming\Tencent\Users\517519840\QQ\WinTemp\RichOle\_4[VS]9NG37M@WGWDO9KTCB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6093440"/>
          <a:ext cx="7581900" cy="4198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11</xdr:col>
      <xdr:colOff>213360</xdr:colOff>
      <xdr:row>126</xdr:row>
      <xdr:rowOff>30480</xdr:rowOff>
    </xdr:to>
    <xdr:pic>
      <xdr:nvPicPr>
        <xdr:cNvPr id="3078" name="Picture 6" descr="C:\Users\dell\AppData\Roaming\Tencent\Users\517519840\QQ\WinTemp\RichOle\JZ2U0%~SE)WF~@0Y%W[N9HK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20299680"/>
          <a:ext cx="7543800" cy="2773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11</xdr:col>
      <xdr:colOff>213360</xdr:colOff>
      <xdr:row>142</xdr:row>
      <xdr:rowOff>0</xdr:rowOff>
    </xdr:to>
    <xdr:pic>
      <xdr:nvPicPr>
        <xdr:cNvPr id="3079" name="Picture 7" descr="C:\Users\dell\AppData\Roaming\Tencent\Users\517519840\QQ\WinTemp\RichOle\RNO%J7[8W0UJQH~N~]~NVZ9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23225760"/>
          <a:ext cx="7543800" cy="2743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143</xdr:row>
      <xdr:rowOff>0</xdr:rowOff>
    </xdr:from>
    <xdr:to>
      <xdr:col>11</xdr:col>
      <xdr:colOff>182880</xdr:colOff>
      <xdr:row>172</xdr:row>
      <xdr:rowOff>68580</xdr:rowOff>
    </xdr:to>
    <xdr:pic>
      <xdr:nvPicPr>
        <xdr:cNvPr id="3080" name="Picture 8" descr="C:\Users\dell\AppData\Roaming\Tencent\Users\517519840\QQ\WinTemp\RichOle\%]JM)($2%EEZ5)0SB$9PI[D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26151840"/>
          <a:ext cx="7513320" cy="537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15240</xdr:colOff>
      <xdr:row>174</xdr:row>
      <xdr:rowOff>45720</xdr:rowOff>
    </xdr:from>
    <xdr:to>
      <xdr:col>11</xdr:col>
      <xdr:colOff>236220</xdr:colOff>
      <xdr:row>182</xdr:row>
      <xdr:rowOff>15240</xdr:rowOff>
    </xdr:to>
    <xdr:pic>
      <xdr:nvPicPr>
        <xdr:cNvPr id="3081" name="Picture 9" descr="C:\Users\dell\AppData\Roaming\Tencent\Users\517519840\QQ\WinTemp\RichOle\P71KMK9E6T4H5BEDT_[0VGJ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5240" y="31866840"/>
          <a:ext cx="7551420" cy="14325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11</xdr:col>
      <xdr:colOff>289560</xdr:colOff>
      <xdr:row>204</xdr:row>
      <xdr:rowOff>167640</xdr:rowOff>
    </xdr:to>
    <xdr:pic>
      <xdr:nvPicPr>
        <xdr:cNvPr id="3082" name="Picture 10" descr="C:\Users\dell\AppData\Roaming\Tencent\Users\517519840\QQ\WinTemp\RichOle\}D73}R%1K{]}T@ZG@5MH51Q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33467040"/>
          <a:ext cx="7620000" cy="4008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206</xdr:row>
      <xdr:rowOff>0</xdr:rowOff>
    </xdr:from>
    <xdr:to>
      <xdr:col>11</xdr:col>
      <xdr:colOff>327660</xdr:colOff>
      <xdr:row>233</xdr:row>
      <xdr:rowOff>129540</xdr:rowOff>
    </xdr:to>
    <xdr:pic>
      <xdr:nvPicPr>
        <xdr:cNvPr id="3083" name="Picture 11" descr="C:\Users\dell\AppData\Roaming\Tencent\Users\517519840\QQ\WinTemp\RichOle\OTUU(B(50ZH%0NYYBR5`[97.jp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37673280"/>
          <a:ext cx="7658100" cy="51054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320040</xdr:colOff>
      <xdr:row>222</xdr:row>
      <xdr:rowOff>137160</xdr:rowOff>
    </xdr:from>
    <xdr:to>
      <xdr:col>20</xdr:col>
      <xdr:colOff>213360</xdr:colOff>
      <xdr:row>233</xdr:row>
      <xdr:rowOff>114300</xdr:rowOff>
    </xdr:to>
    <xdr:pic>
      <xdr:nvPicPr>
        <xdr:cNvPr id="3085" name="Picture 13" descr="C:\Users\dell\AppData\Roaming\Tencent\Users\517519840\QQ\WinTemp\RichOle\5$H{KANAK@I1DO(ND$3X0LA.jp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635240" y="40736520"/>
          <a:ext cx="4770120" cy="19888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236</xdr:row>
      <xdr:rowOff>0</xdr:rowOff>
    </xdr:from>
    <xdr:to>
      <xdr:col>11</xdr:col>
      <xdr:colOff>259080</xdr:colOff>
      <xdr:row>243</xdr:row>
      <xdr:rowOff>60960</xdr:rowOff>
    </xdr:to>
    <xdr:pic>
      <xdr:nvPicPr>
        <xdr:cNvPr id="3086" name="Picture 14" descr="C:\Users\dell\AppData\Roaming\Tencent\Users\517519840\QQ\WinTemp\RichOle\Z%KWGQJR2{Z{C502ILV)HUT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43197780"/>
          <a:ext cx="7589520" cy="13411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244</xdr:row>
      <xdr:rowOff>0</xdr:rowOff>
    </xdr:from>
    <xdr:to>
      <xdr:col>11</xdr:col>
      <xdr:colOff>327660</xdr:colOff>
      <xdr:row>272</xdr:row>
      <xdr:rowOff>167640</xdr:rowOff>
    </xdr:to>
    <xdr:pic>
      <xdr:nvPicPr>
        <xdr:cNvPr id="3087" name="Picture 15" descr="C:\Users\dell\AppData\Roaming\Tencent\Users\517519840\QQ\WinTemp\RichOle\4$CJADDJ386NOI6E)1TLA`W.jp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44660820"/>
          <a:ext cx="7658100" cy="5288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274</xdr:row>
      <xdr:rowOff>0</xdr:rowOff>
    </xdr:from>
    <xdr:to>
      <xdr:col>11</xdr:col>
      <xdr:colOff>243840</xdr:colOff>
      <xdr:row>304</xdr:row>
      <xdr:rowOff>22860</xdr:rowOff>
    </xdr:to>
    <xdr:pic>
      <xdr:nvPicPr>
        <xdr:cNvPr id="3088" name="Picture 16" descr="C:\Users\dell\AppData\Roaming\Tencent\Users\517519840\QQ\WinTemp\RichOle\WU[Y1[V7[J}N5CBRXFL[(7D.jp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50147220"/>
          <a:ext cx="7574280" cy="5509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306</xdr:row>
      <xdr:rowOff>0</xdr:rowOff>
    </xdr:from>
    <xdr:to>
      <xdr:col>11</xdr:col>
      <xdr:colOff>213360</xdr:colOff>
      <xdr:row>336</xdr:row>
      <xdr:rowOff>22860</xdr:rowOff>
    </xdr:to>
    <xdr:pic>
      <xdr:nvPicPr>
        <xdr:cNvPr id="3089" name="Picture 17" descr="C:\Users\dell\AppData\Roaming\Tencent\Users\517519840\QQ\WinTemp\RichOle\ZJT1LO}H_)[QTAM8UYDR@94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55999380"/>
          <a:ext cx="7543800" cy="5509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337</xdr:row>
      <xdr:rowOff>0</xdr:rowOff>
    </xdr:from>
    <xdr:to>
      <xdr:col>11</xdr:col>
      <xdr:colOff>213360</xdr:colOff>
      <xdr:row>366</xdr:row>
      <xdr:rowOff>53340</xdr:rowOff>
    </xdr:to>
    <xdr:pic>
      <xdr:nvPicPr>
        <xdr:cNvPr id="3090" name="Picture 18" descr="C:\Users\dell\AppData\Roaming\Tencent\Users\517519840\QQ\WinTemp\RichOle\ULETE{3EMV)NB[VASQBH8_3.jp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61668660"/>
          <a:ext cx="7543800" cy="5356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368</xdr:row>
      <xdr:rowOff>0</xdr:rowOff>
    </xdr:from>
    <xdr:to>
      <xdr:col>11</xdr:col>
      <xdr:colOff>365760</xdr:colOff>
      <xdr:row>396</xdr:row>
      <xdr:rowOff>7620</xdr:rowOff>
    </xdr:to>
    <xdr:pic>
      <xdr:nvPicPr>
        <xdr:cNvPr id="3091" name="Picture 19" descr="C:\Users\dell\AppData\Roaming\Tencent\Users\517519840\QQ\WinTemp\RichOle\(QM3C~ORKPVI@$4`J@B)_H1.jp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67337940"/>
          <a:ext cx="7696200" cy="51663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487680</xdr:colOff>
      <xdr:row>384</xdr:row>
      <xdr:rowOff>76200</xdr:rowOff>
    </xdr:from>
    <xdr:to>
      <xdr:col>20</xdr:col>
      <xdr:colOff>213360</xdr:colOff>
      <xdr:row>396</xdr:row>
      <xdr:rowOff>137160</xdr:rowOff>
    </xdr:to>
    <xdr:pic>
      <xdr:nvPicPr>
        <xdr:cNvPr id="3093" name="Picture 21" descr="C:\Users\dell\AppData\Roaming\Tencent\Users\517519840\QQ\WinTemp\RichOle\~_HOUWMS(_ZN1AP5DQRDPLR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7802880" y="70340220"/>
          <a:ext cx="4602480" cy="2255520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</xdr:col>
      <xdr:colOff>2316480</xdr:colOff>
      <xdr:row>18</xdr:row>
      <xdr:rowOff>45720</xdr:rowOff>
    </xdr:to>
    <xdr:pic>
      <xdr:nvPicPr>
        <xdr:cNvPr id="2049" name="Picture 1" descr="D:\QQ\517519840\Image\Image1\8$4_VAT}D)S0CVNL5]NQ5J1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3642360" cy="24231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1447800</xdr:colOff>
      <xdr:row>32</xdr:row>
      <xdr:rowOff>0</xdr:rowOff>
    </xdr:to>
    <xdr:pic>
      <xdr:nvPicPr>
        <xdr:cNvPr id="2050" name="Picture 2" descr="D:\QQ\517519840\Image\Image1\(7T}0]0~TS{D942446MEHTT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43200"/>
          <a:ext cx="2773680" cy="2194560"/>
        </a:xfrm>
        <a:prstGeom prst="rect">
          <a:avLst/>
        </a:prstGeom>
        <a:noFill/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60960</xdr:colOff>
      <xdr:row>13</xdr:row>
      <xdr:rowOff>53340</xdr:rowOff>
    </xdr:from>
    <xdr:to>
      <xdr:col>10</xdr:col>
      <xdr:colOff>396240</xdr:colOff>
      <xdr:row>22</xdr:row>
      <xdr:rowOff>15240</xdr:rowOff>
    </xdr:to>
    <xdr:pic>
      <xdr:nvPicPr>
        <xdr:cNvPr id="1025" name="Picture 1" descr="C:\Users\dell\AppData\Roaming\Tencent\Users\517519840\QQ\WinTemp\RichOle\CHTXZZV)E}ZUZH[ZC__L9H2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718560" y="2430780"/>
          <a:ext cx="2773680" cy="16078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15</xdr:row>
      <xdr:rowOff>0</xdr:rowOff>
    </xdr:from>
    <xdr:to>
      <xdr:col>10</xdr:col>
      <xdr:colOff>304800</xdr:colOff>
      <xdr:row>16</xdr:row>
      <xdr:rowOff>121920</xdr:rowOff>
    </xdr:to>
    <xdr:sp macro="" textlink="">
      <xdr:nvSpPr>
        <xdr:cNvPr id="1026" name="AutoShape 2" descr="D:\QQ\517519840\Image\]Y[W1H0A{8VEJI1E`K1J.jpg"/>
        <xdr:cNvSpPr>
          <a:spLocks noChangeAspect="1" noChangeArrowheads="1"/>
        </xdr:cNvSpPr>
      </xdr:nvSpPr>
      <xdr:spPr bwMode="auto">
        <a:xfrm>
          <a:off x="6096000" y="27432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83820</xdr:colOff>
      <xdr:row>10</xdr:row>
      <xdr:rowOff>137160</xdr:rowOff>
    </xdr:from>
    <xdr:to>
      <xdr:col>4</xdr:col>
      <xdr:colOff>198120</xdr:colOff>
      <xdr:row>28</xdr:row>
      <xdr:rowOff>114300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3820" y="1965960"/>
          <a:ext cx="3268980" cy="32689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304800</xdr:colOff>
      <xdr:row>31</xdr:row>
      <xdr:rowOff>121920</xdr:rowOff>
    </xdr:to>
    <xdr:sp macro="" textlink="">
      <xdr:nvSpPr>
        <xdr:cNvPr id="2" name="AutoShape 1" descr="C:\Users\dell\AppData\Roaming\Tencent\Users\517519840\QQ\WinTemp\RichOle\DR(Q)H{`Q@U$BZ2(0KK_9.jpg"/>
        <xdr:cNvSpPr>
          <a:spLocks noChangeAspect="1" noChangeArrowheads="1"/>
        </xdr:cNvSpPr>
      </xdr:nvSpPr>
      <xdr:spPr bwMode="auto">
        <a:xfrm>
          <a:off x="0" y="54864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31</xdr:row>
      <xdr:rowOff>0</xdr:rowOff>
    </xdr:from>
    <xdr:to>
      <xdr:col>5</xdr:col>
      <xdr:colOff>68580</xdr:colOff>
      <xdr:row>43</xdr:row>
      <xdr:rowOff>15240</xdr:rowOff>
    </xdr:to>
    <xdr:pic>
      <xdr:nvPicPr>
        <xdr:cNvPr id="3" name="Picture 2" descr="D:\QQ\517519840\Image\8C1`ODQA83Z$ZGNX]H)NNTW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669280"/>
          <a:ext cx="3832860" cy="220980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22860</xdr:colOff>
      <xdr:row>34</xdr:row>
      <xdr:rowOff>152400</xdr:rowOff>
    </xdr:from>
    <xdr:to>
      <xdr:col>10</xdr:col>
      <xdr:colOff>548640</xdr:colOff>
      <xdr:row>42</xdr:row>
      <xdr:rowOff>53340</xdr:rowOff>
    </xdr:to>
    <xdr:pic>
      <xdr:nvPicPr>
        <xdr:cNvPr id="1027" name="Picture 3" descr="C:\Users\dell\AppData\Roaming\Tencent\Users\517519840\QQ\WinTemp\RichOle\4TV`SL1~YCT~{~O$3T7L~$X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396740" y="6370320"/>
          <a:ext cx="2964180" cy="1363980"/>
        </a:xfrm>
        <a:prstGeom prst="rect">
          <a:avLst/>
        </a:prstGeom>
        <a:noFill/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10</xdr:col>
      <xdr:colOff>358140</xdr:colOff>
      <xdr:row>25</xdr:row>
      <xdr:rowOff>22860</xdr:rowOff>
    </xdr:to>
    <xdr:pic>
      <xdr:nvPicPr>
        <xdr:cNvPr id="3073" name="Picture 1" descr="C:\Users\dell\AppData\Roaming\Tencent\Users\517519840\QQ\WinTemp\RichOle\5C0T}6)UY](P${FNAF27Q%0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7170420" cy="36804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487680</xdr:colOff>
      <xdr:row>17</xdr:row>
      <xdr:rowOff>0</xdr:rowOff>
    </xdr:from>
    <xdr:to>
      <xdr:col>16</xdr:col>
      <xdr:colOff>518160</xdr:colOff>
      <xdr:row>23</xdr:row>
      <xdr:rowOff>15240</xdr:rowOff>
    </xdr:to>
    <xdr:pic>
      <xdr:nvPicPr>
        <xdr:cNvPr id="3074" name="Picture 2" descr="C:\Users\dell\AppData\Roaming\Tencent\Users\517519840\QQ\WinTemp\RichOle\A]@$(]0_%5TGRY%F%@D2E@1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193280" y="3108960"/>
          <a:ext cx="3078480" cy="1112520"/>
        </a:xfrm>
        <a:prstGeom prst="rect">
          <a:avLst/>
        </a:prstGeom>
        <a:noFill/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0</xdr:rowOff>
    </xdr:from>
    <xdr:to>
      <xdr:col>9</xdr:col>
      <xdr:colOff>259080</xdr:colOff>
      <xdr:row>28</xdr:row>
      <xdr:rowOff>68580</xdr:rowOff>
    </xdr:to>
    <xdr:pic>
      <xdr:nvPicPr>
        <xdr:cNvPr id="2049" name="Picture 1" descr="C:\Users\dell\AppData\Roaming\Tencent\Users\517519840\QQ\WinTemp\RichOle\@SXA@_~%SFEQI{2V$V1X39W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731520"/>
          <a:ext cx="6461760" cy="44577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10</xdr:col>
      <xdr:colOff>30480</xdr:colOff>
      <xdr:row>53</xdr:row>
      <xdr:rowOff>144780</xdr:rowOff>
    </xdr:to>
    <xdr:pic>
      <xdr:nvPicPr>
        <xdr:cNvPr id="2050" name="Picture 2" descr="C:\Users\dell\AppData\Roaming\Tencent\Users\517519840\QQ\WinTemp\RichOle\T`QE]CSY3DK7WWYGM}9E9BL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486400"/>
          <a:ext cx="6842760" cy="4351020"/>
        </a:xfrm>
        <a:prstGeom prst="rect">
          <a:avLst/>
        </a:prstGeom>
        <a:noFill/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9</xdr:col>
      <xdr:colOff>525780</xdr:colOff>
      <xdr:row>33</xdr:row>
      <xdr:rowOff>137160</xdr:rowOff>
    </xdr:to>
    <xdr:pic>
      <xdr:nvPicPr>
        <xdr:cNvPr id="1025" name="Picture 1" descr="C:\Users\dell\AppData\Roaming\Tencent\Users\517519840\QQ\WinTemp\RichOle\QK21`GMP(8A3V4{NK$SD(Y5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728460" cy="5257800"/>
        </a:xfrm>
        <a:prstGeom prst="rect">
          <a:avLst/>
        </a:prstGeom>
        <a:noFill/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11</xdr:col>
      <xdr:colOff>144780</xdr:colOff>
      <xdr:row>36</xdr:row>
      <xdr:rowOff>30480</xdr:rowOff>
    </xdr:to>
    <xdr:pic>
      <xdr:nvPicPr>
        <xdr:cNvPr id="2050" name="Picture 2" descr="C:\Users\dell\AppData\Roaming\Tencent\Users\517519840\QQ\WinTemp\RichOle\{DI09}PYX$F3YRHRFYV]AAX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280160"/>
          <a:ext cx="7566660" cy="53340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373380</xdr:colOff>
      <xdr:row>37</xdr:row>
      <xdr:rowOff>114300</xdr:rowOff>
    </xdr:from>
    <xdr:to>
      <xdr:col>5</xdr:col>
      <xdr:colOff>495300</xdr:colOff>
      <xdr:row>49</xdr:row>
      <xdr:rowOff>121920</xdr:rowOff>
    </xdr:to>
    <xdr:pic>
      <xdr:nvPicPr>
        <xdr:cNvPr id="2051" name="Picture 3" descr="C:\Users\dell\AppData\Roaming\Tencent\Users\517519840\QQ\WinTemp\RichOle\F2UGA50OC34MWBO}I6EA4(H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73380" y="6880860"/>
          <a:ext cx="3886200" cy="220218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495300</xdr:colOff>
      <xdr:row>36</xdr:row>
      <xdr:rowOff>137160</xdr:rowOff>
    </xdr:from>
    <xdr:to>
      <xdr:col>12</xdr:col>
      <xdr:colOff>259080</xdr:colOff>
      <xdr:row>53</xdr:row>
      <xdr:rowOff>45720</xdr:rowOff>
    </xdr:to>
    <xdr:pic>
      <xdr:nvPicPr>
        <xdr:cNvPr id="2052" name="Picture 4" descr="C:\Users\dell\AppData\Roaming\Tencent\Users\517519840\QQ\WinTemp\RichOle\$H%QAM9BY$Q6%B5HQX2@GTM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762500" y="6720840"/>
          <a:ext cx="2811780" cy="3017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10</xdr:col>
      <xdr:colOff>190500</xdr:colOff>
      <xdr:row>71</xdr:row>
      <xdr:rowOff>76200</xdr:rowOff>
    </xdr:to>
    <xdr:pic>
      <xdr:nvPicPr>
        <xdr:cNvPr id="2053" name="Picture 5" descr="C:\Users\dell\AppData\Roaming\Tencent\Users\517519840\QQ\WinTemp\RichOle\ILQACV_C58P_Q5F5B7F@3LH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0241280"/>
          <a:ext cx="7002780" cy="28194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57</xdr:row>
      <xdr:rowOff>0</xdr:rowOff>
    </xdr:from>
    <xdr:to>
      <xdr:col>15</xdr:col>
      <xdr:colOff>182880</xdr:colOff>
      <xdr:row>69</xdr:row>
      <xdr:rowOff>137160</xdr:rowOff>
    </xdr:to>
    <xdr:pic>
      <xdr:nvPicPr>
        <xdr:cNvPr id="2054" name="Picture 6" descr="C:\Users\dell\AppData\Roaming\Tencent\Users\517519840\QQ\WinTemp\RichOle\XCHST0W9UMWI]F[MCAJ}8%X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421880" y="10424160"/>
          <a:ext cx="2621280" cy="23317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72</xdr:row>
      <xdr:rowOff>0</xdr:rowOff>
    </xdr:from>
    <xdr:to>
      <xdr:col>5</xdr:col>
      <xdr:colOff>243840</xdr:colOff>
      <xdr:row>93</xdr:row>
      <xdr:rowOff>114300</xdr:rowOff>
    </xdr:to>
    <xdr:pic>
      <xdr:nvPicPr>
        <xdr:cNvPr id="2055" name="Picture 7" descr="C:\Users\dell\AppData\Roaming\Tencent\Users\517519840\QQ\WinTemp\RichOle\@WS41J3DRGK0W~U[6DS7R[1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13167360"/>
          <a:ext cx="4008120" cy="3954780"/>
        </a:xfrm>
        <a:prstGeom prst="rect">
          <a:avLst/>
        </a:prstGeom>
        <a:noFill/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68580</xdr:rowOff>
    </xdr:from>
    <xdr:to>
      <xdr:col>11</xdr:col>
      <xdr:colOff>15240</xdr:colOff>
      <xdr:row>35</xdr:row>
      <xdr:rowOff>30480</xdr:rowOff>
    </xdr:to>
    <xdr:pic>
      <xdr:nvPicPr>
        <xdr:cNvPr id="4097" name="Picture 1" descr="C:\Users\dell\AppData\Roaming\Tencent\Users\517519840\QQ\WinTemp\RichOle\ARZI)MTKY__`6PNF91SZ3N9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82980"/>
          <a:ext cx="7437120" cy="544830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342900</xdr:colOff>
      <xdr:row>11</xdr:row>
      <xdr:rowOff>160020</xdr:rowOff>
    </xdr:from>
    <xdr:to>
      <xdr:col>17</xdr:col>
      <xdr:colOff>342900</xdr:colOff>
      <xdr:row>31</xdr:row>
      <xdr:rowOff>53340</xdr:rowOff>
    </xdr:to>
    <xdr:pic>
      <xdr:nvPicPr>
        <xdr:cNvPr id="4098" name="Picture 2" descr="C:\Users\dell\AppData\Roaming\Tencent\Users\517519840\QQ\WinTemp\RichOle\G}M9H}WY~YT1FG`Y8TF]Q[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7048500" y="2171700"/>
          <a:ext cx="3657600" cy="3550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4</xdr:col>
      <xdr:colOff>601980</xdr:colOff>
      <xdr:row>49</xdr:row>
      <xdr:rowOff>53340</xdr:rowOff>
    </xdr:to>
    <xdr:pic>
      <xdr:nvPicPr>
        <xdr:cNvPr id="1025" name="Picture 1" descr="C:\Users\dell\AppData\Roaming\Tencent\Users\517519840\QQ\WinTemp\RichOle\XC[8LHZ_G8U%E{V{XDRL0_6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583680"/>
          <a:ext cx="3756660" cy="243078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53340</xdr:colOff>
      <xdr:row>36</xdr:row>
      <xdr:rowOff>45720</xdr:rowOff>
    </xdr:from>
    <xdr:to>
      <xdr:col>10</xdr:col>
      <xdr:colOff>137160</xdr:colOff>
      <xdr:row>50</xdr:row>
      <xdr:rowOff>106680</xdr:rowOff>
    </xdr:to>
    <xdr:pic>
      <xdr:nvPicPr>
        <xdr:cNvPr id="1026" name="Picture 2" descr="C:\Users\dell\AppData\Roaming\Tencent\Users\517519840\QQ\WinTemp\RichOle\RS8Z]LGWBK~9UOAZQ$(F}MC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817620" y="6629400"/>
          <a:ext cx="3131820" cy="262128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403860</xdr:colOff>
      <xdr:row>36</xdr:row>
      <xdr:rowOff>91440</xdr:rowOff>
    </xdr:from>
    <xdr:to>
      <xdr:col>15</xdr:col>
      <xdr:colOff>396240</xdr:colOff>
      <xdr:row>52</xdr:row>
      <xdr:rowOff>22860</xdr:rowOff>
    </xdr:to>
    <xdr:pic>
      <xdr:nvPicPr>
        <xdr:cNvPr id="1027" name="Picture 3" descr="C:\Users\dell\AppData\Roaming\Tencent\Users\517519840\QQ\WinTemp\RichOle\GVPWYX_8@I5~]340}[0EVQ8.jp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7216140" y="6675120"/>
          <a:ext cx="3040380" cy="2857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7</xdr:col>
      <xdr:colOff>114300</xdr:colOff>
      <xdr:row>76</xdr:row>
      <xdr:rowOff>60960</xdr:rowOff>
    </xdr:to>
    <xdr:pic>
      <xdr:nvPicPr>
        <xdr:cNvPr id="1028" name="Picture 4" descr="C:\Users\dell\AppData\Roaming\Tencent\Users\517519840\QQ\WinTemp\RichOle\M1I}HGC7}6QE7J315~WX_XH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9326880"/>
          <a:ext cx="5097780" cy="4632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77</xdr:row>
      <xdr:rowOff>0</xdr:rowOff>
    </xdr:from>
    <xdr:to>
      <xdr:col>7</xdr:col>
      <xdr:colOff>129540</xdr:colOff>
      <xdr:row>102</xdr:row>
      <xdr:rowOff>45720</xdr:rowOff>
    </xdr:to>
    <xdr:pic>
      <xdr:nvPicPr>
        <xdr:cNvPr id="1029" name="Picture 5" descr="C:\Users\dell\AppData\Roaming\Tencent\Users\517519840\QQ\WinTemp\RichOle\G[M6~NVA0SM]$MD((6_SOPK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4081760"/>
          <a:ext cx="5113020" cy="46177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104</xdr:row>
      <xdr:rowOff>0</xdr:rowOff>
    </xdr:from>
    <xdr:to>
      <xdr:col>5</xdr:col>
      <xdr:colOff>487680</xdr:colOff>
      <xdr:row>132</xdr:row>
      <xdr:rowOff>45720</xdr:rowOff>
    </xdr:to>
    <xdr:pic>
      <xdr:nvPicPr>
        <xdr:cNvPr id="1030" name="Picture 6" descr="D:\QQ\517519840\Image\G(4]5A_2%T[35_R8`1P5PHV.jp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9019520"/>
          <a:ext cx="4251960" cy="5166360"/>
        </a:xfrm>
        <a:prstGeom prst="rect">
          <a:avLst/>
        </a:prstGeom>
        <a:noFill/>
      </xdr:spPr>
    </xdr:pic>
    <xdr:clientData/>
  </xdr:twoCellAnchor>
  <xdr:twoCellAnchor editAs="oneCell">
    <xdr:from>
      <xdr:col>7</xdr:col>
      <xdr:colOff>0</xdr:colOff>
      <xdr:row>104</xdr:row>
      <xdr:rowOff>0</xdr:rowOff>
    </xdr:from>
    <xdr:to>
      <xdr:col>12</xdr:col>
      <xdr:colOff>266700</xdr:colOff>
      <xdr:row>128</xdr:row>
      <xdr:rowOff>175260</xdr:rowOff>
    </xdr:to>
    <xdr:pic>
      <xdr:nvPicPr>
        <xdr:cNvPr id="1031" name="Picture 7" descr="C:\Users\dell\AppData\Roaming\Tencent\Users\517519840\QQ\WinTemp\RichOle\45IZ%9M{]{7}9S7()D)7}95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4983480" y="19019520"/>
          <a:ext cx="3314700" cy="4564380"/>
        </a:xfrm>
        <a:prstGeom prst="rect">
          <a:avLst/>
        </a:prstGeom>
        <a:noFill/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9</xdr:col>
      <xdr:colOff>114300</xdr:colOff>
      <xdr:row>17</xdr:row>
      <xdr:rowOff>137160</xdr:rowOff>
    </xdr:to>
    <xdr:pic>
      <xdr:nvPicPr>
        <xdr:cNvPr id="3073" name="Picture 1" descr="C:\Users\dell\AppData\Roaming\Tencent\Users\517519840\QQ\WinTemp\RichOle\(LT6H)IWUW85CNJ7TYZ5`HY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316980" cy="23317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320040</xdr:colOff>
      <xdr:row>5</xdr:row>
      <xdr:rowOff>68580</xdr:rowOff>
    </xdr:from>
    <xdr:to>
      <xdr:col>18</xdr:col>
      <xdr:colOff>419100</xdr:colOff>
      <xdr:row>16</xdr:row>
      <xdr:rowOff>0</xdr:rowOff>
    </xdr:to>
    <xdr:pic>
      <xdr:nvPicPr>
        <xdr:cNvPr id="3074" name="Picture 2" descr="C:\Users\dell\AppData\Roaming\Tencent\Users\517519840\QQ\WinTemp\RichOle\9]MK[R%)2M($_B@0%A93GHH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416040" y="982980"/>
          <a:ext cx="4975860" cy="1943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373380</xdr:colOff>
      <xdr:row>29</xdr:row>
      <xdr:rowOff>68580</xdr:rowOff>
    </xdr:to>
    <xdr:pic>
      <xdr:nvPicPr>
        <xdr:cNvPr id="3075" name="Picture 3" descr="D:\QQ\517519840\Image\(3IMUP[I$YWTNN1OH41PG{0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3657600"/>
          <a:ext cx="1699260" cy="1714500"/>
        </a:xfrm>
        <a:prstGeom prst="rect">
          <a:avLst/>
        </a:prstGeom>
        <a:noFill/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5</xdr:col>
      <xdr:colOff>304800</xdr:colOff>
      <xdr:row>31</xdr:row>
      <xdr:rowOff>91440</xdr:rowOff>
    </xdr:to>
    <xdr:pic>
      <xdr:nvPicPr>
        <xdr:cNvPr id="2049" name="Picture 1" descr="C:\Users\dell\AppData\Roaming\Tencent\Users\517519840\QQ\WinTemp\RichOle\)(D3X7A9K{NPJYOO[9HE$_K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069080" cy="48463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106680</xdr:rowOff>
    </xdr:from>
    <xdr:to>
      <xdr:col>5</xdr:col>
      <xdr:colOff>502920</xdr:colOff>
      <xdr:row>58</xdr:row>
      <xdr:rowOff>137160</xdr:rowOff>
    </xdr:to>
    <xdr:pic>
      <xdr:nvPicPr>
        <xdr:cNvPr id="2" name="Picture 1" descr="D:\QQ\517519840\Image\06Z)4)O3LYEK4[E`A)LHVFJ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958840"/>
          <a:ext cx="4267200" cy="4785360"/>
        </a:xfrm>
        <a:prstGeom prst="rect">
          <a:avLst/>
        </a:prstGeom>
        <a:noFill/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8</xdr:col>
      <xdr:colOff>342900</xdr:colOff>
      <xdr:row>33</xdr:row>
      <xdr:rowOff>7620</xdr:rowOff>
    </xdr:to>
    <xdr:pic>
      <xdr:nvPicPr>
        <xdr:cNvPr id="2049" name="Picture 1" descr="C:\Users\dell\AppData\Roaming\Tencent\Users\517519840\QQ\WinTemp\RichOle\63FPAFB]C9{M6{K5LQMP8Z9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5219700" cy="4945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304800</xdr:colOff>
      <xdr:row>36</xdr:row>
      <xdr:rowOff>121920</xdr:rowOff>
    </xdr:to>
    <xdr:sp macro="" textlink="">
      <xdr:nvSpPr>
        <xdr:cNvPr id="2050" name="AutoShape 2" descr="\\"/>
        <xdr:cNvSpPr>
          <a:spLocks noChangeAspect="1" noChangeArrowheads="1"/>
        </xdr:cNvSpPr>
      </xdr:nvSpPr>
      <xdr:spPr bwMode="auto">
        <a:xfrm>
          <a:off x="0" y="64008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304800</xdr:colOff>
      <xdr:row>36</xdr:row>
      <xdr:rowOff>121920</xdr:rowOff>
    </xdr:to>
    <xdr:sp macro="" textlink="">
      <xdr:nvSpPr>
        <xdr:cNvPr id="2051" name="AutoShape 3" descr="\\"/>
        <xdr:cNvSpPr>
          <a:spLocks noChangeAspect="1" noChangeArrowheads="1"/>
        </xdr:cNvSpPr>
      </xdr:nvSpPr>
      <xdr:spPr bwMode="auto">
        <a:xfrm>
          <a:off x="0" y="640080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35</xdr:row>
      <xdr:rowOff>0</xdr:rowOff>
    </xdr:from>
    <xdr:to>
      <xdr:col>8</xdr:col>
      <xdr:colOff>30480</xdr:colOff>
      <xdr:row>61</xdr:row>
      <xdr:rowOff>167640</xdr:rowOff>
    </xdr:to>
    <xdr:pic>
      <xdr:nvPicPr>
        <xdr:cNvPr id="2052" name="Picture 4" descr="C:\Users\dell\AppData\Roaming\Tencent\Users\517519840\QQ\WinTemp\RichOle\$S_9E}D9CV4XVY)PHLR{V9Y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400800"/>
          <a:ext cx="4907280" cy="4922520"/>
        </a:xfrm>
        <a:prstGeom prst="rect">
          <a:avLst/>
        </a:prstGeom>
        <a:noFill/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518160</xdr:colOff>
      <xdr:row>3</xdr:row>
      <xdr:rowOff>91440</xdr:rowOff>
    </xdr:from>
    <xdr:to>
      <xdr:col>7</xdr:col>
      <xdr:colOff>396240</xdr:colOff>
      <xdr:row>27</xdr:row>
      <xdr:rowOff>167640</xdr:rowOff>
    </xdr:to>
    <xdr:pic>
      <xdr:nvPicPr>
        <xdr:cNvPr id="2049" name="Picture 1" descr="C:\Users\dell\AppData\Roaming\Tencent\Users\517519840\QQ\WinTemp\RichOle\U@U4{I[FYC3LKXG@OBON~RY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18160" y="640080"/>
          <a:ext cx="4145280" cy="4465320"/>
        </a:xfrm>
        <a:prstGeom prst="rect">
          <a:avLst/>
        </a:prstGeom>
        <a:noFill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</xdr:col>
      <xdr:colOff>3383280</xdr:colOff>
      <xdr:row>14</xdr:row>
      <xdr:rowOff>152400</xdr:rowOff>
    </xdr:to>
    <xdr:pic>
      <xdr:nvPicPr>
        <xdr:cNvPr id="4097" name="Picture 1" descr="D:\QQ\517519840\Image\Image1\7W3%`3E8IB]J5ZIN$ATAW@C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709160" cy="17983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182879</xdr:rowOff>
    </xdr:from>
    <xdr:to>
      <xdr:col>1</xdr:col>
      <xdr:colOff>259080</xdr:colOff>
      <xdr:row>46</xdr:row>
      <xdr:rowOff>18122</xdr:rowOff>
    </xdr:to>
    <xdr:pic>
      <xdr:nvPicPr>
        <xdr:cNvPr id="4098" name="Picture 2" descr="D:\QQ\517519840\Image\Image1\_KC6GT$J2)MT1J84RPO1X%L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926079"/>
          <a:ext cx="1584960" cy="5504523"/>
        </a:xfrm>
        <a:prstGeom prst="rect">
          <a:avLst/>
        </a:prstGeom>
        <a:noFill/>
      </xdr:spPr>
    </xdr:pic>
    <xdr:clientData/>
  </xdr:twoCellAnchor>
  <xdr:twoCellAnchor editAs="oneCell">
    <xdr:from>
      <xdr:col>1</xdr:col>
      <xdr:colOff>251460</xdr:colOff>
      <xdr:row>27</xdr:row>
      <xdr:rowOff>7619</xdr:rowOff>
    </xdr:from>
    <xdr:to>
      <xdr:col>1</xdr:col>
      <xdr:colOff>1676400</xdr:colOff>
      <xdr:row>36</xdr:row>
      <xdr:rowOff>170998</xdr:rowOff>
    </xdr:to>
    <xdr:pic>
      <xdr:nvPicPr>
        <xdr:cNvPr id="4" name="Picture 2" descr="D:\QQ\517519840\Image\Image1\_KC6GT$J2)MT1J84RPO1X%L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-2703" t="33463" b="28988"/>
        <a:stretch>
          <a:fillRect/>
        </a:stretch>
      </xdr:blipFill>
      <xdr:spPr bwMode="auto">
        <a:xfrm>
          <a:off x="1577340" y="4945379"/>
          <a:ext cx="1424940" cy="1809299"/>
        </a:xfrm>
        <a:prstGeom prst="rect">
          <a:avLst/>
        </a:prstGeom>
        <a:noFill/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160020</xdr:rowOff>
    </xdr:from>
    <xdr:to>
      <xdr:col>6</xdr:col>
      <xdr:colOff>236220</xdr:colOff>
      <xdr:row>28</xdr:row>
      <xdr:rowOff>106194</xdr:rowOff>
    </xdr:to>
    <xdr:pic>
      <xdr:nvPicPr>
        <xdr:cNvPr id="1025" name="Picture 1" descr="D:\QQ\517519840\Image\C2C\6`0}IJD}J1JMBBY4URQSDYD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708660"/>
          <a:ext cx="3893820" cy="4518174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13</xdr:col>
      <xdr:colOff>60960</xdr:colOff>
      <xdr:row>15</xdr:row>
      <xdr:rowOff>60960</xdr:rowOff>
    </xdr:to>
    <xdr:pic>
      <xdr:nvPicPr>
        <xdr:cNvPr id="1026" name="Picture 2" descr="C:\Users\dell\AppData\Roaming\Tencent\Users\517519840\QQ\WinTemp\RichOle\%ZY3Z89{L9T[$5INRI3$8]R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876800" y="1097280"/>
          <a:ext cx="3108960" cy="17068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18</xdr:row>
      <xdr:rowOff>0</xdr:rowOff>
    </xdr:from>
    <xdr:to>
      <xdr:col>13</xdr:col>
      <xdr:colOff>312420</xdr:colOff>
      <xdr:row>38</xdr:row>
      <xdr:rowOff>99060</xdr:rowOff>
    </xdr:to>
    <xdr:pic>
      <xdr:nvPicPr>
        <xdr:cNvPr id="1027" name="Picture 3" descr="C:\Users\dell\AppData\Roaming\Tencent\Users\517519840\QQ\WinTemp\RichOle\$9N]~~T68)5IUXXYM]BA$XG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876800" y="3291840"/>
          <a:ext cx="3360420" cy="3756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41</xdr:row>
      <xdr:rowOff>0</xdr:rowOff>
    </xdr:from>
    <xdr:to>
      <xdr:col>6</xdr:col>
      <xdr:colOff>22860</xdr:colOff>
      <xdr:row>60</xdr:row>
      <xdr:rowOff>167640</xdr:rowOff>
    </xdr:to>
    <xdr:pic>
      <xdr:nvPicPr>
        <xdr:cNvPr id="2" name="Picture 1" descr="D:\QQ\517519840\Image\C2C\F)[J@0~]M4}R(7{3E03C5UD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7498080"/>
          <a:ext cx="3680460" cy="364236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42</xdr:row>
      <xdr:rowOff>0</xdr:rowOff>
    </xdr:from>
    <xdr:to>
      <xdr:col>10</xdr:col>
      <xdr:colOff>304800</xdr:colOff>
      <xdr:row>50</xdr:row>
      <xdr:rowOff>60960</xdr:rowOff>
    </xdr:to>
    <xdr:pic>
      <xdr:nvPicPr>
        <xdr:cNvPr id="3" name="Picture 2" descr="D:\QQ\517519840\Image\C2C\~)PHWB`GB}U_%~CV`EX1UMS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3657600" y="7680960"/>
          <a:ext cx="2743200" cy="15240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381000</xdr:colOff>
      <xdr:row>41</xdr:row>
      <xdr:rowOff>121920</xdr:rowOff>
    </xdr:from>
    <xdr:to>
      <xdr:col>22</xdr:col>
      <xdr:colOff>259080</xdr:colOff>
      <xdr:row>53</xdr:row>
      <xdr:rowOff>83820</xdr:rowOff>
    </xdr:to>
    <xdr:pic>
      <xdr:nvPicPr>
        <xdr:cNvPr id="4" name="Picture 3" descr="C:\Users\dell\AppData\Roaming\Tencent\Users\517519840\QQ\WinTemp\RichOle\574@((LDZXUVYF(80}}GTZ2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477000" y="7620000"/>
          <a:ext cx="7193280" cy="21564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62</xdr:row>
      <xdr:rowOff>0</xdr:rowOff>
    </xdr:from>
    <xdr:to>
      <xdr:col>7</xdr:col>
      <xdr:colOff>114300</xdr:colOff>
      <xdr:row>74</xdr:row>
      <xdr:rowOff>45720</xdr:rowOff>
    </xdr:to>
    <xdr:pic>
      <xdr:nvPicPr>
        <xdr:cNvPr id="1028" name="Picture 4" descr="D:\QQ\517519840\Image\C2C\7X)YLXH0BNDEU}XO~3289[J.pn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1338560"/>
          <a:ext cx="4381500" cy="2240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76</xdr:row>
      <xdr:rowOff>0</xdr:rowOff>
    </xdr:from>
    <xdr:to>
      <xdr:col>15</xdr:col>
      <xdr:colOff>274320</xdr:colOff>
      <xdr:row>93</xdr:row>
      <xdr:rowOff>15240</xdr:rowOff>
    </xdr:to>
    <xdr:pic>
      <xdr:nvPicPr>
        <xdr:cNvPr id="1029" name="Picture 5" descr="C:\Users\dell\AppData\Roaming\Tencent\Users\517519840\QQ\WinTemp\RichOle\%Q9AT956$BN6HTU9H}VL`7C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3898880"/>
          <a:ext cx="9418320" cy="3124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95</xdr:row>
      <xdr:rowOff>0</xdr:rowOff>
    </xdr:from>
    <xdr:to>
      <xdr:col>7</xdr:col>
      <xdr:colOff>266700</xdr:colOff>
      <xdr:row>122</xdr:row>
      <xdr:rowOff>137160</xdr:rowOff>
    </xdr:to>
    <xdr:pic>
      <xdr:nvPicPr>
        <xdr:cNvPr id="1030" name="Picture 6" descr="D:\QQ\517519840\Image\C2C\74GJ@9U57C7W3]%R}[(B}(8.pn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17373600"/>
          <a:ext cx="4533900" cy="507492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109</xdr:row>
      <xdr:rowOff>0</xdr:rowOff>
    </xdr:from>
    <xdr:to>
      <xdr:col>12</xdr:col>
      <xdr:colOff>388620</xdr:colOff>
      <xdr:row>119</xdr:row>
      <xdr:rowOff>121920</xdr:rowOff>
    </xdr:to>
    <xdr:pic>
      <xdr:nvPicPr>
        <xdr:cNvPr id="1031" name="Picture 7" descr="C:\Users\dell\AppData\Roaming\Tencent\Users\517519840\QQ\WinTemp\RichOle\W`O@]BAWE0K7G@T8_7__B~E.pn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4876800" y="19933920"/>
          <a:ext cx="2827020" cy="19507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124</xdr:row>
      <xdr:rowOff>0</xdr:rowOff>
    </xdr:from>
    <xdr:to>
      <xdr:col>11</xdr:col>
      <xdr:colOff>22860</xdr:colOff>
      <xdr:row>147</xdr:row>
      <xdr:rowOff>83820</xdr:rowOff>
    </xdr:to>
    <xdr:pic>
      <xdr:nvPicPr>
        <xdr:cNvPr id="1032" name="Picture 8" descr="D:\QQ\517519840\Image\C2C\K74JUFGXMF7}S1RV@}3UZV8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0" y="22677120"/>
          <a:ext cx="6728460" cy="429006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133</xdr:row>
      <xdr:rowOff>0</xdr:rowOff>
    </xdr:from>
    <xdr:to>
      <xdr:col>16</xdr:col>
      <xdr:colOff>175260</xdr:colOff>
      <xdr:row>149</xdr:row>
      <xdr:rowOff>30480</xdr:rowOff>
    </xdr:to>
    <xdr:pic>
      <xdr:nvPicPr>
        <xdr:cNvPr id="1033" name="Picture 9" descr="C:\Users\dell\AppData\Roaming\Tencent\Users\517519840\QQ\WinTemp\RichOle\_5K19DXU@I1UO34GYVJF_`K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7315200" y="24323040"/>
          <a:ext cx="2613660" cy="2956560"/>
        </a:xfrm>
        <a:prstGeom prst="rect">
          <a:avLst/>
        </a:prstGeom>
        <a:noFill/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91440</xdr:rowOff>
    </xdr:from>
    <xdr:to>
      <xdr:col>8</xdr:col>
      <xdr:colOff>99060</xdr:colOff>
      <xdr:row>33</xdr:row>
      <xdr:rowOff>160020</xdr:rowOff>
    </xdr:to>
    <xdr:pic>
      <xdr:nvPicPr>
        <xdr:cNvPr id="1027" name="Picture 3" descr="C:\Users\dell\AppData\Roaming\Tencent\Users\517519840\QQ\WinTemp\RichOle\SXXIHP~]KT@QH2$R(HD1Y3A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822960"/>
          <a:ext cx="4975860" cy="5372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7</xdr:col>
      <xdr:colOff>342900</xdr:colOff>
      <xdr:row>49</xdr:row>
      <xdr:rowOff>30480</xdr:rowOff>
    </xdr:to>
    <xdr:pic>
      <xdr:nvPicPr>
        <xdr:cNvPr id="1028" name="Picture 4" descr="C:\Users\dell\AppData\Roaming\Tencent\Users\517519840\QQ\WinTemp\RichOle\APRYK40SIZ9$0D[BQ5BHJ}8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400800"/>
          <a:ext cx="4610100" cy="25908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39</xdr:row>
      <xdr:rowOff>0</xdr:rowOff>
    </xdr:from>
    <xdr:to>
      <xdr:col>14</xdr:col>
      <xdr:colOff>236220</xdr:colOff>
      <xdr:row>47</xdr:row>
      <xdr:rowOff>53340</xdr:rowOff>
    </xdr:to>
    <xdr:pic>
      <xdr:nvPicPr>
        <xdr:cNvPr id="1029" name="Picture 5" descr="C:\Users\dell\AppData\Roaming\Tencent\Users\517519840\QQ\WinTemp\RichOle\]O~G%S}55[86Z9IGWLR2FBX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876800" y="7132320"/>
          <a:ext cx="3893820" cy="151638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48</xdr:row>
      <xdr:rowOff>0</xdr:rowOff>
    </xdr:from>
    <xdr:to>
      <xdr:col>15</xdr:col>
      <xdr:colOff>342900</xdr:colOff>
      <xdr:row>60</xdr:row>
      <xdr:rowOff>83820</xdr:rowOff>
    </xdr:to>
    <xdr:pic>
      <xdr:nvPicPr>
        <xdr:cNvPr id="1030" name="Picture 6" descr="C:\Users\dell\AppData\Roaming\Tencent\Users\517519840\QQ\WinTemp\RichOle\J38WCJ2FN$58W{U4B{$XFG5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876800" y="8778240"/>
          <a:ext cx="4610100" cy="2278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61</xdr:row>
      <xdr:rowOff>0</xdr:rowOff>
    </xdr:from>
    <xdr:to>
      <xdr:col>11</xdr:col>
      <xdr:colOff>106680</xdr:colOff>
      <xdr:row>80</xdr:row>
      <xdr:rowOff>99060</xdr:rowOff>
    </xdr:to>
    <xdr:pic>
      <xdr:nvPicPr>
        <xdr:cNvPr id="1031" name="Picture 7" descr="C:\Users\dell\AppData\Roaming\Tencent\Users\517519840\QQ\WinTemp\RichOle\QB~{EYE~K``__T~Q1NY5~H7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1155680"/>
          <a:ext cx="6812280" cy="357378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0</xdr:colOff>
      <xdr:row>71</xdr:row>
      <xdr:rowOff>0</xdr:rowOff>
    </xdr:from>
    <xdr:to>
      <xdr:col>16</xdr:col>
      <xdr:colOff>45720</xdr:colOff>
      <xdr:row>82</xdr:row>
      <xdr:rowOff>15240</xdr:rowOff>
    </xdr:to>
    <xdr:pic>
      <xdr:nvPicPr>
        <xdr:cNvPr id="1032" name="Picture 8" descr="C:\Users\dell\AppData\Roaming\Tencent\Users\517519840\QQ\WinTemp\RichOle\]NTAORM~CF}(%UMOBOQJY6Q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7315200" y="12984480"/>
          <a:ext cx="2484120" cy="2026920"/>
        </a:xfrm>
        <a:prstGeom prst="rect">
          <a:avLst/>
        </a:prstGeom>
        <a:noFill/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388620</xdr:colOff>
      <xdr:row>7</xdr:row>
      <xdr:rowOff>45720</xdr:rowOff>
    </xdr:from>
    <xdr:to>
      <xdr:col>9</xdr:col>
      <xdr:colOff>472440</xdr:colOff>
      <xdr:row>22</xdr:row>
      <xdr:rowOff>30480</xdr:rowOff>
    </xdr:to>
    <xdr:pic>
      <xdr:nvPicPr>
        <xdr:cNvPr id="2049" name="Picture 1" descr="C:\Users\dell\AppData\Roaming\Tencent\Users\517519840\QQ\WinTemp\RichOle\7(73VPAOQ(RXERM2}M6I(RT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388620" y="1325880"/>
          <a:ext cx="5570220" cy="27279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251460</xdr:colOff>
      <xdr:row>22</xdr:row>
      <xdr:rowOff>137160</xdr:rowOff>
    </xdr:from>
    <xdr:to>
      <xdr:col>10</xdr:col>
      <xdr:colOff>53340</xdr:colOff>
      <xdr:row>37</xdr:row>
      <xdr:rowOff>15240</xdr:rowOff>
    </xdr:to>
    <xdr:pic>
      <xdr:nvPicPr>
        <xdr:cNvPr id="2050" name="Picture 2" descr="C:\Users\dell\AppData\Roaming\Tencent\Users\517519840\QQ\WinTemp\RichOle\6IG[6S75G9(6MX7T4_5]0(H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51460" y="4160520"/>
          <a:ext cx="5897880" cy="26212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11</xdr:col>
      <xdr:colOff>381000</xdr:colOff>
      <xdr:row>46</xdr:row>
      <xdr:rowOff>45720</xdr:rowOff>
    </xdr:to>
    <xdr:pic>
      <xdr:nvPicPr>
        <xdr:cNvPr id="2051" name="Picture 3" descr="C:\Users\dell\AppData\Roaming\Tencent\Users\517519840\QQ\WinTemp\RichOle\EL34ZPM`YKGL$]4R2TI_6M8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949440"/>
          <a:ext cx="7086600" cy="15087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457200</xdr:colOff>
      <xdr:row>36</xdr:row>
      <xdr:rowOff>129540</xdr:rowOff>
    </xdr:from>
    <xdr:to>
      <xdr:col>16</xdr:col>
      <xdr:colOff>160020</xdr:colOff>
      <xdr:row>47</xdr:row>
      <xdr:rowOff>99060</xdr:rowOff>
    </xdr:to>
    <xdr:pic>
      <xdr:nvPicPr>
        <xdr:cNvPr id="2052" name="Picture 4" descr="C:\Users\dell\AppData\Roaming\Tencent\Users\517519840\QQ\WinTemp\RichOle\@C~9WRJ1EN_(Z8T)O[K3E2P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7162800" y="6713220"/>
          <a:ext cx="2750820" cy="1981200"/>
        </a:xfrm>
        <a:prstGeom prst="rect">
          <a:avLst/>
        </a:prstGeom>
        <a:noFill/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6</xdr:col>
      <xdr:colOff>92424</xdr:colOff>
      <xdr:row>15</xdr:row>
      <xdr:rowOff>83820</xdr:rowOff>
    </xdr:to>
    <xdr:pic>
      <xdr:nvPicPr>
        <xdr:cNvPr id="1025" name="Picture 1" descr="D:\QQ\517519840\Image\C2C\XXIT%2ONI[9Z3)GIPXXXWT6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3750024" cy="1912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11</xdr:col>
      <xdr:colOff>579120</xdr:colOff>
      <xdr:row>44</xdr:row>
      <xdr:rowOff>160020</xdr:rowOff>
    </xdr:to>
    <xdr:pic>
      <xdr:nvPicPr>
        <xdr:cNvPr id="1026" name="Picture 2" descr="C:\Users\dell\AppData\Roaming\Tencent\Users\517519840\QQ\WinTemp\RichOle\V06@~SX71NUBE1)9_GDEB5G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108960"/>
          <a:ext cx="7284720" cy="5097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4</xdr:col>
      <xdr:colOff>449580</xdr:colOff>
      <xdr:row>71</xdr:row>
      <xdr:rowOff>175260</xdr:rowOff>
    </xdr:to>
    <xdr:pic>
      <xdr:nvPicPr>
        <xdr:cNvPr id="1027" name="Picture 3" descr="C:\Users\dell\AppData\Roaming\Tencent\Users\517519840\QQ\WinTemp\RichOle\(C$9EKTH6GNV6%6{16AO}_V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412480"/>
          <a:ext cx="2887980" cy="4747260"/>
        </a:xfrm>
        <a:prstGeom prst="rect">
          <a:avLst/>
        </a:prstGeom>
        <a:noFill/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15</xdr:col>
      <xdr:colOff>137160</xdr:colOff>
      <xdr:row>29</xdr:row>
      <xdr:rowOff>114300</xdr:rowOff>
    </xdr:to>
    <xdr:pic>
      <xdr:nvPicPr>
        <xdr:cNvPr id="3073" name="Picture 1" descr="C:\Users\dell\AppData\Roaming\Tencent\Users\517519840\QQ\WinTemp\RichOle\G%$YJVZ1}0JZCAM3`SB{$_E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463040"/>
          <a:ext cx="9281160" cy="39547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5</xdr:col>
      <xdr:colOff>99060</xdr:colOff>
      <xdr:row>38</xdr:row>
      <xdr:rowOff>45720</xdr:rowOff>
    </xdr:to>
    <xdr:pic>
      <xdr:nvPicPr>
        <xdr:cNvPr id="3074" name="Picture 2" descr="C:\Users\dell\AppData\Roaming\Tencent\Users\517519840\QQ\WinTemp\RichOle\M[)V_(V2@[_IW@ZT)AVF@~4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486400"/>
          <a:ext cx="3147060" cy="15087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39</xdr:row>
      <xdr:rowOff>0</xdr:rowOff>
    </xdr:from>
    <xdr:to>
      <xdr:col>14</xdr:col>
      <xdr:colOff>541020</xdr:colOff>
      <xdr:row>62</xdr:row>
      <xdr:rowOff>99060</xdr:rowOff>
    </xdr:to>
    <xdr:pic>
      <xdr:nvPicPr>
        <xdr:cNvPr id="3075" name="Picture 3" descr="C:\Users\dell\AppData\Roaming\Tencent\Users\517519840\QQ\WinTemp\RichOle\ZAKRRQ@_4EGZOVAXP%}3Y7P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7132320"/>
          <a:ext cx="9075420" cy="4305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64</xdr:row>
      <xdr:rowOff>0</xdr:rowOff>
    </xdr:from>
    <xdr:to>
      <xdr:col>5</xdr:col>
      <xdr:colOff>464820</xdr:colOff>
      <xdr:row>86</xdr:row>
      <xdr:rowOff>83820</xdr:rowOff>
    </xdr:to>
    <xdr:pic>
      <xdr:nvPicPr>
        <xdr:cNvPr id="3076" name="Picture 4" descr="C:\Users\dell\AppData\Roaming\Tencent\Users\517519840\QQ\WinTemp\RichOle\W`BAKXQG$9@]M79OTZ{5{VE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1704320"/>
          <a:ext cx="3512820" cy="4107180"/>
        </a:xfrm>
        <a:prstGeom prst="rect">
          <a:avLst/>
        </a:prstGeom>
        <a:noFill/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7</xdr:col>
      <xdr:colOff>220980</xdr:colOff>
      <xdr:row>28</xdr:row>
      <xdr:rowOff>167640</xdr:rowOff>
    </xdr:to>
    <xdr:pic>
      <xdr:nvPicPr>
        <xdr:cNvPr id="4097" name="Picture 1" descr="C:\Users\dell\AppData\Roaming\Tencent\Users\517519840\QQ\WinTemp\RichOle\XH(Q6{){{W@4BIAR4I@ODW2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4488180" cy="4373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8</xdr:col>
      <xdr:colOff>251460</xdr:colOff>
      <xdr:row>56</xdr:row>
      <xdr:rowOff>144780</xdr:rowOff>
    </xdr:to>
    <xdr:pic>
      <xdr:nvPicPr>
        <xdr:cNvPr id="4098" name="Picture 2" descr="C:\Users\dell\AppData\Roaming\Tencent\Users\517519840\QQ\WinTemp\RichOle\X72QDYRLNRUCPI7VONCITZM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486400"/>
          <a:ext cx="5128260" cy="4899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7</xdr:col>
      <xdr:colOff>121920</xdr:colOff>
      <xdr:row>85</xdr:row>
      <xdr:rowOff>45720</xdr:rowOff>
    </xdr:to>
    <xdr:pic>
      <xdr:nvPicPr>
        <xdr:cNvPr id="4099" name="Picture 3" descr="C:\Users\dell\AppData\Roaming\Tencent\Users\517519840\QQ\WinTemp\RichOle\FAM]CKBP~H~ILE}NH4]G1{O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10789920"/>
          <a:ext cx="4389120" cy="4800600"/>
        </a:xfrm>
        <a:prstGeom prst="rect">
          <a:avLst/>
        </a:prstGeom>
        <a:noFill/>
      </xdr:spPr>
    </xdr:pic>
    <xdr:clientData/>
  </xdr:twoCellAnchor>
  <xdr:twoCellAnchor editAs="oneCell">
    <xdr:from>
      <xdr:col>8</xdr:col>
      <xdr:colOff>0</xdr:colOff>
      <xdr:row>15</xdr:row>
      <xdr:rowOff>0</xdr:rowOff>
    </xdr:from>
    <xdr:to>
      <xdr:col>12</xdr:col>
      <xdr:colOff>7620</xdr:colOff>
      <xdr:row>28</xdr:row>
      <xdr:rowOff>106680</xdr:rowOff>
    </xdr:to>
    <xdr:pic>
      <xdr:nvPicPr>
        <xdr:cNvPr id="4100" name="Picture 4" descr="C:\Users\dell\AppData\Roaming\Tencent\Users\517519840\QQ\WinTemp\RichOle\J}EF777L`_I_`G0$A14@4K9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4876800" y="2743200"/>
          <a:ext cx="2446020" cy="2484120"/>
        </a:xfrm>
        <a:prstGeom prst="rect">
          <a:avLst/>
        </a:prstGeom>
        <a:noFill/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12</xdr:col>
      <xdr:colOff>236220</xdr:colOff>
      <xdr:row>33</xdr:row>
      <xdr:rowOff>129540</xdr:rowOff>
    </xdr:to>
    <xdr:pic>
      <xdr:nvPicPr>
        <xdr:cNvPr id="5121" name="Picture 1" descr="C:\Users\dell\AppData\Roaming\Tencent\Users\517519840\QQ\WinTemp\RichOle\H~STO7_$1U)O]BL9_5QHDXQ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7551420" cy="50673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449580</xdr:colOff>
      <xdr:row>34</xdr:row>
      <xdr:rowOff>91440</xdr:rowOff>
    </xdr:from>
    <xdr:to>
      <xdr:col>12</xdr:col>
      <xdr:colOff>167640</xdr:colOff>
      <xdr:row>47</xdr:row>
      <xdr:rowOff>22860</xdr:rowOff>
    </xdr:to>
    <xdr:pic>
      <xdr:nvPicPr>
        <xdr:cNvPr id="5122" name="Picture 2" descr="C:\Users\dell\AppData\Roaming\Tencent\Users\517519840\QQ\WinTemp\RichOle\03(%XPYKWZ5T%O]BTXE`EJ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3497580" y="6309360"/>
          <a:ext cx="3985260" cy="2308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4</xdr:col>
      <xdr:colOff>114300</xdr:colOff>
      <xdr:row>63</xdr:row>
      <xdr:rowOff>76200</xdr:rowOff>
    </xdr:to>
    <xdr:pic>
      <xdr:nvPicPr>
        <xdr:cNvPr id="4" name="Picture 6" descr="C:\Users\dell\AppData\Roaming\Tencent\Users\517519840\QQ\WinTemp\RichOle\H45]5]604PUWJ5UDUQMC8ZI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778240"/>
          <a:ext cx="2552700" cy="2819400"/>
        </a:xfrm>
        <a:prstGeom prst="rect">
          <a:avLst/>
        </a:prstGeom>
        <a:noFill/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7620</xdr:rowOff>
    </xdr:from>
    <xdr:to>
      <xdr:col>13</xdr:col>
      <xdr:colOff>266700</xdr:colOff>
      <xdr:row>32</xdr:row>
      <xdr:rowOff>60960</xdr:rowOff>
    </xdr:to>
    <xdr:pic>
      <xdr:nvPicPr>
        <xdr:cNvPr id="6146" name="Picture 2" descr="C:\Users\dell\AppData\Roaming\Tencent\Users\517519840\QQ\WinTemp\RichOle\AOJ8A41$JD%{E3`]`05R]04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556260"/>
          <a:ext cx="8191500" cy="5356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304800</xdr:colOff>
      <xdr:row>35</xdr:row>
      <xdr:rowOff>121920</xdr:rowOff>
    </xdr:to>
    <xdr:sp macro="" textlink="">
      <xdr:nvSpPr>
        <xdr:cNvPr id="6147" name="AutoShape 3" descr="C:\Users\dell\AppData\Roaming\Tencent\Users\517519840\QQ\WinTemp\RichOle\7AQFSPDZ([4L_5AVO($L.png"/>
        <xdr:cNvSpPr>
          <a:spLocks noChangeAspect="1" noChangeArrowheads="1"/>
        </xdr:cNvSpPr>
      </xdr:nvSpPr>
      <xdr:spPr bwMode="auto">
        <a:xfrm>
          <a:off x="0" y="62179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304800</xdr:colOff>
      <xdr:row>35</xdr:row>
      <xdr:rowOff>121920</xdr:rowOff>
    </xdr:to>
    <xdr:sp macro="" textlink="">
      <xdr:nvSpPr>
        <xdr:cNvPr id="6148" name="AutoShape 4" descr="C:\Users\dell\AppData\Roaming\Tencent\Users\517519840\QQ\WinTemp\RichOle\7AQFSPDZ([4L_5AVO($L.png"/>
        <xdr:cNvSpPr>
          <a:spLocks noChangeAspect="1" noChangeArrowheads="1"/>
        </xdr:cNvSpPr>
      </xdr:nvSpPr>
      <xdr:spPr bwMode="auto">
        <a:xfrm>
          <a:off x="0" y="62179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34</xdr:row>
      <xdr:rowOff>0</xdr:rowOff>
    </xdr:from>
    <xdr:to>
      <xdr:col>4</xdr:col>
      <xdr:colOff>228600</xdr:colOff>
      <xdr:row>46</xdr:row>
      <xdr:rowOff>129540</xdr:rowOff>
    </xdr:to>
    <xdr:pic>
      <xdr:nvPicPr>
        <xdr:cNvPr id="6149" name="Picture 5" descr="C:\Users\dell\AppData\Roaming\Tencent\Users\517519840\QQ\WinTemp\RichOle\2BU}Y)%N4Z7YLI85@{15F8G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217920"/>
          <a:ext cx="2667000" cy="23241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48</xdr:row>
      <xdr:rowOff>0</xdr:rowOff>
    </xdr:from>
    <xdr:to>
      <xdr:col>4</xdr:col>
      <xdr:colOff>114300</xdr:colOff>
      <xdr:row>63</xdr:row>
      <xdr:rowOff>76200</xdr:rowOff>
    </xdr:to>
    <xdr:pic>
      <xdr:nvPicPr>
        <xdr:cNvPr id="6150" name="Picture 6" descr="C:\Users\dell\AppData\Roaming\Tencent\Users\517519840\QQ\WinTemp\RichOle\H45]5]604PUWJ5UDUQMC8ZI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778240"/>
          <a:ext cx="2552700" cy="2819400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53</xdr:row>
      <xdr:rowOff>0</xdr:rowOff>
    </xdr:from>
    <xdr:to>
      <xdr:col>13</xdr:col>
      <xdr:colOff>160020</xdr:colOff>
      <xdr:row>62</xdr:row>
      <xdr:rowOff>30480</xdr:rowOff>
    </xdr:to>
    <xdr:pic>
      <xdr:nvPicPr>
        <xdr:cNvPr id="6151" name="Picture 7" descr="C:\Users\dell\AppData\Roaming\Tencent\Users\517519840\QQ\WinTemp\RichOle\BZ3R$HXD0}ZG@VKD(NL_Z~J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048000" y="9692640"/>
          <a:ext cx="5036820" cy="1676400"/>
        </a:xfrm>
        <a:prstGeom prst="rect">
          <a:avLst/>
        </a:prstGeom>
        <a:noFill/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10</xdr:col>
      <xdr:colOff>464820</xdr:colOff>
      <xdr:row>20</xdr:row>
      <xdr:rowOff>15240</xdr:rowOff>
    </xdr:to>
    <xdr:pic>
      <xdr:nvPicPr>
        <xdr:cNvPr id="7169" name="Picture 1" descr="C:\Users\dell\AppData\Roaming\Tencent\Users\517519840\QQ\WinTemp\RichOle\6~`B$1F9CTSEJTRL@6]ZQ8Q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280160"/>
          <a:ext cx="6560820" cy="2392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8</xdr:col>
      <xdr:colOff>182880</xdr:colOff>
      <xdr:row>31</xdr:row>
      <xdr:rowOff>83820</xdr:rowOff>
    </xdr:to>
    <xdr:pic>
      <xdr:nvPicPr>
        <xdr:cNvPr id="7170" name="Picture 2" descr="C:\Users\dell\AppData\Roaming\Tencent\Users\517519840\QQ\WinTemp\RichOle\N0S43L3{JP$HU8BX(I2SKB2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840480"/>
          <a:ext cx="5059680" cy="19126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5</xdr:col>
      <xdr:colOff>594360</xdr:colOff>
      <xdr:row>44</xdr:row>
      <xdr:rowOff>145728</xdr:rowOff>
    </xdr:to>
    <xdr:pic>
      <xdr:nvPicPr>
        <xdr:cNvPr id="4" name="Picture 11" descr="C:\Users\dell\AppData\Roaming\Tencent\Users\517519840\QQ\WinTemp\RichOle\CC23[PW]}AS9G]YS5J5@252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852160"/>
          <a:ext cx="3642360" cy="2340288"/>
        </a:xfrm>
        <a:prstGeom prst="rect">
          <a:avLst/>
        </a:prstGeom>
        <a:noFill/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7</xdr:row>
      <xdr:rowOff>0</xdr:rowOff>
    </xdr:from>
    <xdr:to>
      <xdr:col>6</xdr:col>
      <xdr:colOff>160020</xdr:colOff>
      <xdr:row>20</xdr:row>
      <xdr:rowOff>144780</xdr:rowOff>
    </xdr:to>
    <xdr:pic>
      <xdr:nvPicPr>
        <xdr:cNvPr id="8193" name="Picture 1" descr="D:\QQ\517519840\Image\C2C\XS]`TLIVRB_8885`7DNGTUS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280160"/>
          <a:ext cx="3817620" cy="25222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5</xdr:col>
      <xdr:colOff>495300</xdr:colOff>
      <xdr:row>34</xdr:row>
      <xdr:rowOff>167640</xdr:rowOff>
    </xdr:to>
    <xdr:pic>
      <xdr:nvPicPr>
        <xdr:cNvPr id="8194" name="Picture 2" descr="D:\QQ\517519840\Image\C2C\Q$LAU74~9_LYJX~1}}6C~J7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023360"/>
          <a:ext cx="3543300" cy="2362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152400</xdr:rowOff>
    </xdr:from>
    <xdr:to>
      <xdr:col>6</xdr:col>
      <xdr:colOff>106680</xdr:colOff>
      <xdr:row>49</xdr:row>
      <xdr:rowOff>0</xdr:rowOff>
    </xdr:to>
    <xdr:pic>
      <xdr:nvPicPr>
        <xdr:cNvPr id="8195" name="Picture 3" descr="D:\QQ\517519840\Image\C2C\DBJI_J]84O~IZG0IQPE[K45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553200"/>
          <a:ext cx="3764280" cy="2407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11</xdr:col>
      <xdr:colOff>121920</xdr:colOff>
      <xdr:row>73</xdr:row>
      <xdr:rowOff>114300</xdr:rowOff>
    </xdr:to>
    <xdr:pic>
      <xdr:nvPicPr>
        <xdr:cNvPr id="8196" name="Picture 4" descr="C:\Users\dell\AppData\Roaming\Tencent\Users\517519840\QQ\WinTemp\RichOle\W2NXXMVX9J`C(8@HZ2I0_YE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9326880"/>
          <a:ext cx="6827520" cy="4137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75</xdr:row>
      <xdr:rowOff>0</xdr:rowOff>
    </xdr:from>
    <xdr:to>
      <xdr:col>6</xdr:col>
      <xdr:colOff>7620</xdr:colOff>
      <xdr:row>85</xdr:row>
      <xdr:rowOff>76200</xdr:rowOff>
    </xdr:to>
    <xdr:pic>
      <xdr:nvPicPr>
        <xdr:cNvPr id="8197" name="Picture 5" descr="C:\Users\dell\AppData\Roaming\Tencent\Users\517519840\QQ\WinTemp\RichOle\70RUD54}D0ZNJ3)LL4SIE3D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3716000"/>
          <a:ext cx="3665220" cy="1905000"/>
        </a:xfrm>
        <a:prstGeom prst="rect">
          <a:avLst/>
        </a:prstGeom>
        <a:noFill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22860</xdr:colOff>
      <xdr:row>4</xdr:row>
      <xdr:rowOff>167640</xdr:rowOff>
    </xdr:from>
    <xdr:to>
      <xdr:col>1</xdr:col>
      <xdr:colOff>3901440</xdr:colOff>
      <xdr:row>14</xdr:row>
      <xdr:rowOff>99060</xdr:rowOff>
    </xdr:to>
    <xdr:pic>
      <xdr:nvPicPr>
        <xdr:cNvPr id="5121" name="Picture 1" descr="D:\QQ\517519840\Image\Image1\{DAP9G@0{S_U%0QI9%CCA_1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2860" y="899160"/>
          <a:ext cx="5204460" cy="17602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1</xdr:col>
      <xdr:colOff>3819040</xdr:colOff>
      <xdr:row>33</xdr:row>
      <xdr:rowOff>83820</xdr:rowOff>
    </xdr:to>
    <xdr:pic>
      <xdr:nvPicPr>
        <xdr:cNvPr id="5122" name="Picture 2" descr="D:\QQ\517519840\Image\Image1\DU7Q~65J3A5U}I(NH~ODX$3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2743200"/>
          <a:ext cx="5144920" cy="3375660"/>
        </a:xfrm>
        <a:prstGeom prst="rect">
          <a:avLst/>
        </a:prstGeom>
        <a:noFill/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2</xdr:col>
      <xdr:colOff>426720</xdr:colOff>
      <xdr:row>24</xdr:row>
      <xdr:rowOff>157038</xdr:rowOff>
    </xdr:to>
    <xdr:pic>
      <xdr:nvPicPr>
        <xdr:cNvPr id="2049" name="Picture 1" descr="C:\Users\dell\AppData\Roaming\Tencent\Users\517519840\QQ\WinTemp\RichOle\)YE$SDAY(~E7R[OG${62~08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1645920" cy="3631758"/>
        </a:xfrm>
        <a:prstGeom prst="rect">
          <a:avLst/>
        </a:prstGeom>
        <a:noFill/>
      </xdr:spPr>
    </xdr:pic>
    <xdr:clientData/>
  </xdr:twoCellAnchor>
  <xdr:twoCellAnchor editAs="oneCell">
    <xdr:from>
      <xdr:col>2</xdr:col>
      <xdr:colOff>398706</xdr:colOff>
      <xdr:row>5</xdr:row>
      <xdr:rowOff>91440</xdr:rowOff>
    </xdr:from>
    <xdr:to>
      <xdr:col>9</xdr:col>
      <xdr:colOff>502919</xdr:colOff>
      <xdr:row>9</xdr:row>
      <xdr:rowOff>137160</xdr:rowOff>
    </xdr:to>
    <xdr:pic>
      <xdr:nvPicPr>
        <xdr:cNvPr id="2050" name="Picture 2" descr="C:\Users\dell\AppData\Roaming\Tencent\Users\517519840\QQ\WinTemp\RichOle\R[PG0J4({7~NY`L[A]2K{AF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617906" y="1005840"/>
          <a:ext cx="4371413" cy="77724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25</xdr:row>
      <xdr:rowOff>76200</xdr:rowOff>
    </xdr:from>
    <xdr:to>
      <xdr:col>10</xdr:col>
      <xdr:colOff>251460</xdr:colOff>
      <xdr:row>29</xdr:row>
      <xdr:rowOff>152400</xdr:rowOff>
    </xdr:to>
    <xdr:pic>
      <xdr:nvPicPr>
        <xdr:cNvPr id="2053" name="Picture 5" descr="C:\Users\dell\AppData\Roaming\Tencent\Users\517519840\QQ\WinTemp\RichOle\0(B]{14CC_UA{](7F[IC3~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4648200"/>
          <a:ext cx="6347460" cy="80772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7620</xdr:colOff>
      <xdr:row>9</xdr:row>
      <xdr:rowOff>114300</xdr:rowOff>
    </xdr:from>
    <xdr:to>
      <xdr:col>10</xdr:col>
      <xdr:colOff>83820</xdr:colOff>
      <xdr:row>23</xdr:row>
      <xdr:rowOff>22860</xdr:rowOff>
    </xdr:to>
    <xdr:pic>
      <xdr:nvPicPr>
        <xdr:cNvPr id="2054" name="Picture 6" descr="C:\Users\dell\AppData\Roaming\Tencent\Users\517519840\QQ\WinTemp\RichOle\YK]_BT@86H$[X2ADG[K9[21.jp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3665220" y="1760220"/>
          <a:ext cx="2514600" cy="2468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91440</xdr:rowOff>
    </xdr:from>
    <xdr:to>
      <xdr:col>3</xdr:col>
      <xdr:colOff>0</xdr:colOff>
      <xdr:row>49</xdr:row>
      <xdr:rowOff>160020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6126480"/>
          <a:ext cx="1828800" cy="29946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289560</xdr:colOff>
      <xdr:row>34</xdr:row>
      <xdr:rowOff>58320</xdr:rowOff>
    </xdr:from>
    <xdr:to>
      <xdr:col>10</xdr:col>
      <xdr:colOff>274320</xdr:colOff>
      <xdr:row>45</xdr:row>
      <xdr:rowOff>68579</xdr:rowOff>
    </xdr:to>
    <xdr:pic>
      <xdr:nvPicPr>
        <xdr:cNvPr id="2056" name="Picture 8" descr="C:\Users\dell\AppData\Roaming\Tencent\Users\517519840\QQ\WinTemp\RichOle\GDOL(RTSF_3M4H8Z5UU1}WP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118360" y="6276240"/>
          <a:ext cx="4251960" cy="2021939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51</xdr:row>
      <xdr:rowOff>0</xdr:rowOff>
    </xdr:from>
    <xdr:to>
      <xdr:col>10</xdr:col>
      <xdr:colOff>28452</xdr:colOff>
      <xdr:row>67</xdr:row>
      <xdr:rowOff>99060</xdr:rowOff>
    </xdr:to>
    <xdr:pic>
      <xdr:nvPicPr>
        <xdr:cNvPr id="2057" name="Picture 9" descr="C:\Users\dell\AppData\Roaming\Tencent\Users\517519840\QQ\WinTemp\RichOle\3Z@%P}Z@LW`$$8)]~A(QK`4.jp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9326880"/>
          <a:ext cx="6124452" cy="302514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548640</xdr:colOff>
      <xdr:row>34</xdr:row>
      <xdr:rowOff>97168</xdr:rowOff>
    </xdr:from>
    <xdr:to>
      <xdr:col>18</xdr:col>
      <xdr:colOff>53340</xdr:colOff>
      <xdr:row>46</xdr:row>
      <xdr:rowOff>7620</xdr:rowOff>
    </xdr:to>
    <xdr:pic>
      <xdr:nvPicPr>
        <xdr:cNvPr id="2058" name="Picture 10" descr="C:\Users\dell\AppData\Roaming\Tencent\Users\517519840\QQ\WinTemp\RichOle\N9X@%%89_O%ED(AL)FB~ZTW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644640" y="6315088"/>
          <a:ext cx="4381500" cy="2105012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15240</xdr:colOff>
      <xdr:row>67</xdr:row>
      <xdr:rowOff>30480</xdr:rowOff>
    </xdr:from>
    <xdr:to>
      <xdr:col>9</xdr:col>
      <xdr:colOff>76887</xdr:colOff>
      <xdr:row>82</xdr:row>
      <xdr:rowOff>53340</xdr:rowOff>
    </xdr:to>
    <xdr:pic>
      <xdr:nvPicPr>
        <xdr:cNvPr id="2059" name="Picture 11" descr="C:\Users\dell\AppData\Roaming\Tencent\Users\517519840\QQ\WinTemp\RichOle\PV339T7DR@5PG2~_5S%2)2K.pn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5240" y="12283440"/>
          <a:ext cx="5548047" cy="276606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69</xdr:row>
      <xdr:rowOff>0</xdr:rowOff>
    </xdr:from>
    <xdr:to>
      <xdr:col>10</xdr:col>
      <xdr:colOff>304800</xdr:colOff>
      <xdr:row>70</xdr:row>
      <xdr:rowOff>121920</xdr:rowOff>
    </xdr:to>
    <xdr:sp macro="" textlink="">
      <xdr:nvSpPr>
        <xdr:cNvPr id="2060" name="AutoShape 12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6096000" y="126187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10</xdr:col>
      <xdr:colOff>0</xdr:colOff>
      <xdr:row>68</xdr:row>
      <xdr:rowOff>0</xdr:rowOff>
    </xdr:from>
    <xdr:to>
      <xdr:col>10</xdr:col>
      <xdr:colOff>304800</xdr:colOff>
      <xdr:row>69</xdr:row>
      <xdr:rowOff>121920</xdr:rowOff>
    </xdr:to>
    <xdr:sp macro="" textlink="">
      <xdr:nvSpPr>
        <xdr:cNvPr id="2061" name="AutoShape 13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6096000" y="124358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11</xdr:col>
      <xdr:colOff>0</xdr:colOff>
      <xdr:row>74</xdr:row>
      <xdr:rowOff>0</xdr:rowOff>
    </xdr:from>
    <xdr:to>
      <xdr:col>11</xdr:col>
      <xdr:colOff>304800</xdr:colOff>
      <xdr:row>75</xdr:row>
      <xdr:rowOff>121920</xdr:rowOff>
    </xdr:to>
    <xdr:sp macro="" textlink="">
      <xdr:nvSpPr>
        <xdr:cNvPr id="2062" name="AutoShape 14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6705600" y="1353312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13</xdr:col>
      <xdr:colOff>0</xdr:colOff>
      <xdr:row>78</xdr:row>
      <xdr:rowOff>0</xdr:rowOff>
    </xdr:from>
    <xdr:to>
      <xdr:col>13</xdr:col>
      <xdr:colOff>304800</xdr:colOff>
      <xdr:row>79</xdr:row>
      <xdr:rowOff>121920</xdr:rowOff>
    </xdr:to>
    <xdr:sp macro="" textlink="">
      <xdr:nvSpPr>
        <xdr:cNvPr id="2063" name="AutoShape 15" descr="C:\Users\dell\AppData\Roaming\Tencent\Users\517519840\QQ\WinTemp\RichOle\_ZFX4SH1)R}5[18KDS(H.jpg"/>
        <xdr:cNvSpPr>
          <a:spLocks noChangeAspect="1" noChangeArrowheads="1"/>
        </xdr:cNvSpPr>
      </xdr:nvSpPr>
      <xdr:spPr bwMode="auto">
        <a:xfrm>
          <a:off x="7924800" y="1426464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22860</xdr:colOff>
      <xdr:row>83</xdr:row>
      <xdr:rowOff>4599</xdr:rowOff>
    </xdr:from>
    <xdr:to>
      <xdr:col>8</xdr:col>
      <xdr:colOff>22860</xdr:colOff>
      <xdr:row>95</xdr:row>
      <xdr:rowOff>99059</xdr:rowOff>
    </xdr:to>
    <xdr:pic>
      <xdr:nvPicPr>
        <xdr:cNvPr id="2064" name="Picture 16" descr="C:\Users\dell\AppData\Roaming\Tencent\Users\517519840\QQ\WinTemp\RichOle\0FBAM2)}_C%[BSP8LKU8W0D.jp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22860" y="15183639"/>
          <a:ext cx="4876800" cy="2289020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457200</xdr:colOff>
      <xdr:row>84</xdr:row>
      <xdr:rowOff>114300</xdr:rowOff>
    </xdr:from>
    <xdr:to>
      <xdr:col>14</xdr:col>
      <xdr:colOff>38100</xdr:colOff>
      <xdr:row>96</xdr:row>
      <xdr:rowOff>167640</xdr:rowOff>
    </xdr:to>
    <xdr:pic>
      <xdr:nvPicPr>
        <xdr:cNvPr id="2065" name="Picture 17" descr="C:\Users\dell\AppData\Roaming\Tencent\Users\517519840\QQ\WinTemp\RichOle\6Y4P38[QZMQ0M8L2XN[TREU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5943600" y="15476220"/>
          <a:ext cx="2628900" cy="224790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0</xdr:colOff>
      <xdr:row>67</xdr:row>
      <xdr:rowOff>0</xdr:rowOff>
    </xdr:from>
    <xdr:to>
      <xdr:col>16</xdr:col>
      <xdr:colOff>106680</xdr:colOff>
      <xdr:row>83</xdr:row>
      <xdr:rowOff>68580</xdr:rowOff>
    </xdr:to>
    <xdr:pic>
      <xdr:nvPicPr>
        <xdr:cNvPr id="2066" name="Picture 18" descr="C:\Users\dell\AppData\Roaming\Tencent\Users\517519840\QQ\WinTemp\RichOle\TG}R%_(F%TR$~3H9FOE1S4I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096000" y="12252960"/>
          <a:ext cx="3764280" cy="2994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97</xdr:row>
      <xdr:rowOff>0</xdr:rowOff>
    </xdr:from>
    <xdr:to>
      <xdr:col>5</xdr:col>
      <xdr:colOff>449580</xdr:colOff>
      <xdr:row>125</xdr:row>
      <xdr:rowOff>167640</xdr:rowOff>
    </xdr:to>
    <xdr:pic>
      <xdr:nvPicPr>
        <xdr:cNvPr id="2067" name="Picture 19" descr="C:\Users\dell\AppData\Roaming\Tencent\Users\517519840\QQ\WinTemp\RichOle\{E]KIJAO$KX4N}0L~}`1YSU.jp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0" y="17739360"/>
          <a:ext cx="3497580" cy="5288280"/>
        </a:xfrm>
        <a:prstGeom prst="rect">
          <a:avLst/>
        </a:prstGeom>
        <a:noFill/>
      </xdr:spPr>
    </xdr:pic>
    <xdr:clientData/>
  </xdr:twoCellAnchor>
  <xdr:twoCellAnchor editAs="oneCell">
    <xdr:from>
      <xdr:col>6</xdr:col>
      <xdr:colOff>0</xdr:colOff>
      <xdr:row>98</xdr:row>
      <xdr:rowOff>0</xdr:rowOff>
    </xdr:from>
    <xdr:to>
      <xdr:col>10</xdr:col>
      <xdr:colOff>190500</xdr:colOff>
      <xdr:row>111</xdr:row>
      <xdr:rowOff>60960</xdr:rowOff>
    </xdr:to>
    <xdr:pic>
      <xdr:nvPicPr>
        <xdr:cNvPr id="2068" name="Picture 20" descr="C:\Users\dell\AppData\Roaming\Tencent\Users\517519840\QQ\WinTemp\RichOle\$7DXO2}G(9N_J6]ZU0]W[TU.pn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3657600" y="17922240"/>
          <a:ext cx="2628900" cy="2438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127</xdr:row>
      <xdr:rowOff>0</xdr:rowOff>
    </xdr:from>
    <xdr:to>
      <xdr:col>13</xdr:col>
      <xdr:colOff>441960</xdr:colOff>
      <xdr:row>150</xdr:row>
      <xdr:rowOff>99060</xdr:rowOff>
    </xdr:to>
    <xdr:pic>
      <xdr:nvPicPr>
        <xdr:cNvPr id="2069" name="Picture 21" descr="C:\Users\dell\AppData\Roaming\Tencent\Users\517519840\QQ\WinTemp\RichOle\$@7}A86QI2WA@5$DVI_5IZ6.pn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0" y="23225760"/>
          <a:ext cx="8366760" cy="4305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152</xdr:row>
      <xdr:rowOff>0</xdr:rowOff>
    </xdr:from>
    <xdr:to>
      <xdr:col>4</xdr:col>
      <xdr:colOff>76200</xdr:colOff>
      <xdr:row>164</xdr:row>
      <xdr:rowOff>83820</xdr:rowOff>
    </xdr:to>
    <xdr:pic>
      <xdr:nvPicPr>
        <xdr:cNvPr id="2070" name="Picture 22" descr="C:\Users\dell\AppData\Roaming\Tencent\Users\517519840\QQ\WinTemp\RichOle\]X04M)_0)LNH0]2JN$2M8S0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27797760"/>
          <a:ext cx="2514600" cy="2278380"/>
        </a:xfrm>
        <a:prstGeom prst="rect">
          <a:avLst/>
        </a:prstGeom>
        <a:noFill/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4</xdr:col>
      <xdr:colOff>403860</xdr:colOff>
      <xdr:row>21</xdr:row>
      <xdr:rowOff>114300</xdr:rowOff>
    </xdr:to>
    <xdr:pic>
      <xdr:nvPicPr>
        <xdr:cNvPr id="4097" name="Picture 1" descr="C:\Users\dell\AppData\Roaming\Tencent\Users\517519840\QQ\WinTemp\RichOle\5ZQ2QZ]IYY@HCH68[($4NCY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2842260" cy="30403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14</xdr:col>
      <xdr:colOff>541020</xdr:colOff>
      <xdr:row>50</xdr:row>
      <xdr:rowOff>121920</xdr:rowOff>
    </xdr:to>
    <xdr:pic>
      <xdr:nvPicPr>
        <xdr:cNvPr id="4098" name="Picture 2" descr="C:\Users\dell\AppData\Roaming\Tencent\Users\517519840\QQ\WinTemp\RichOle\NBIA4([SU6UX[WZFO~MU10K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206240"/>
          <a:ext cx="9075420" cy="5059680"/>
        </a:xfrm>
        <a:prstGeom prst="rect">
          <a:avLst/>
        </a:prstGeom>
        <a:noFill/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14</xdr:col>
      <xdr:colOff>312420</xdr:colOff>
      <xdr:row>29</xdr:row>
      <xdr:rowOff>83820</xdr:rowOff>
    </xdr:to>
    <xdr:pic>
      <xdr:nvPicPr>
        <xdr:cNvPr id="2049" name="Picture 1" descr="C:\Users\dell\AppData\Roaming\Tencent\Users\517519840\QQ\WinTemp\RichOle\(~H6[BZ~RQL9C_87J%A@6SG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463040"/>
          <a:ext cx="8846820" cy="3924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4</xdr:col>
      <xdr:colOff>419100</xdr:colOff>
      <xdr:row>56</xdr:row>
      <xdr:rowOff>152400</xdr:rowOff>
    </xdr:to>
    <xdr:pic>
      <xdr:nvPicPr>
        <xdr:cNvPr id="2050" name="Picture 2" descr="D:\QQ\517519840\Image\C2C\A9~86M)8I6J8LZ[IC(6]YXP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669280"/>
          <a:ext cx="2857500" cy="4724400"/>
        </a:xfrm>
        <a:prstGeom prst="rect">
          <a:avLst/>
        </a:prstGeom>
        <a:noFill/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10</xdr:col>
      <xdr:colOff>83820</xdr:colOff>
      <xdr:row>29</xdr:row>
      <xdr:rowOff>152400</xdr:rowOff>
    </xdr:to>
    <xdr:pic>
      <xdr:nvPicPr>
        <xdr:cNvPr id="2049" name="Picture 1" descr="C:\Users\dell\AppData\Roaming\Tencent\Users\517519840\QQ\WinTemp\RichOle\)DJHN2Q6$96M9L_U%O[)I$E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179820" cy="4541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304800</xdr:colOff>
      <xdr:row>32</xdr:row>
      <xdr:rowOff>121920</xdr:rowOff>
    </xdr:to>
    <xdr:sp macro="" textlink="">
      <xdr:nvSpPr>
        <xdr:cNvPr id="2050" name="AutoShape 2" descr="C:\Users\dell\AppData\Roaming\Tencent\Users\517519840\QQ\WinTemp\RichOle\)94N4M1)o`9]ZY($R7IL2.jpg"/>
        <xdr:cNvSpPr>
          <a:spLocks noChangeAspect="1" noChangeArrowheads="1"/>
        </xdr:cNvSpPr>
      </xdr:nvSpPr>
      <xdr:spPr bwMode="auto">
        <a:xfrm>
          <a:off x="0" y="56692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31</xdr:row>
      <xdr:rowOff>0</xdr:rowOff>
    </xdr:from>
    <xdr:to>
      <xdr:col>0</xdr:col>
      <xdr:colOff>304800</xdr:colOff>
      <xdr:row>32</xdr:row>
      <xdr:rowOff>121920</xdr:rowOff>
    </xdr:to>
    <xdr:sp macro="" textlink="">
      <xdr:nvSpPr>
        <xdr:cNvPr id="2051" name="AutoShape 3" descr="C:\Users\dell\AppData\Roaming\Tencent\Users\517519840\QQ\WinTemp\RichOle\)94N4M1)o`9]ZY($R7IL2.jpg"/>
        <xdr:cNvSpPr>
          <a:spLocks noChangeAspect="1" noChangeArrowheads="1"/>
        </xdr:cNvSpPr>
      </xdr:nvSpPr>
      <xdr:spPr bwMode="auto">
        <a:xfrm>
          <a:off x="0" y="5669280"/>
          <a:ext cx="304800" cy="304800"/>
        </a:xfrm>
        <a:prstGeom prst="rect">
          <a:avLst/>
        </a:prstGeom>
        <a:noFill/>
      </xdr:spPr>
    </xdr:sp>
    <xdr:clientData/>
  </xdr:twoCellAnchor>
  <xdr:twoCellAnchor editAs="oneCell">
    <xdr:from>
      <xdr:col>0</xdr:col>
      <xdr:colOff>0</xdr:colOff>
      <xdr:row>31</xdr:row>
      <xdr:rowOff>0</xdr:rowOff>
    </xdr:from>
    <xdr:to>
      <xdr:col>9</xdr:col>
      <xdr:colOff>579120</xdr:colOff>
      <xdr:row>39</xdr:row>
      <xdr:rowOff>68580</xdr:rowOff>
    </xdr:to>
    <xdr:pic>
      <xdr:nvPicPr>
        <xdr:cNvPr id="2052" name="Picture 4" descr="C:\Users\dell\AppData\Roaming\Tencent\Users\517519840\QQ\WinTemp\RichOle\A6Q1Y05AQ2T8@87]OICY8BN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5669280"/>
          <a:ext cx="6065520" cy="153162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0</xdr:colOff>
      <xdr:row>14</xdr:row>
      <xdr:rowOff>0</xdr:rowOff>
    </xdr:from>
    <xdr:to>
      <xdr:col>15</xdr:col>
      <xdr:colOff>480060</xdr:colOff>
      <xdr:row>26</xdr:row>
      <xdr:rowOff>167640</xdr:rowOff>
    </xdr:to>
    <xdr:pic>
      <xdr:nvPicPr>
        <xdr:cNvPr id="2053" name="Picture 5" descr="C:\Users\dell\AppData\Roaming\Tencent\Users\517519840\QQ\WinTemp\RichOle\Z[6FF}T%93`7[ZRTUFG6X[7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705600" y="2560320"/>
          <a:ext cx="2918460" cy="23622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7</xdr:col>
      <xdr:colOff>259080</xdr:colOff>
      <xdr:row>44</xdr:row>
      <xdr:rowOff>91440</xdr:rowOff>
    </xdr:to>
    <xdr:pic>
      <xdr:nvPicPr>
        <xdr:cNvPr id="2054" name="Picture 6" descr="C:\Users\dell\AppData\Roaming\Tencent\Users\517519840\QQ\WinTemp\RichOle\5}[6B7MFM_}LID}DB2)S9(O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7315200"/>
          <a:ext cx="4526280" cy="822960"/>
        </a:xfrm>
        <a:prstGeom prst="rect">
          <a:avLst/>
        </a:prstGeom>
        <a:noFill/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7</xdr:col>
      <xdr:colOff>83820</xdr:colOff>
      <xdr:row>21</xdr:row>
      <xdr:rowOff>45720</xdr:rowOff>
    </xdr:to>
    <xdr:pic>
      <xdr:nvPicPr>
        <xdr:cNvPr id="3073" name="Picture 1" descr="C:\Users\dell\AppData\Roaming\Tencent\Users\517519840\QQ\WinTemp\RichOle\)P[%S~B%5)AKD7W6D8O6~SI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4351020" cy="27889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23</xdr:row>
      <xdr:rowOff>0</xdr:rowOff>
    </xdr:from>
    <xdr:to>
      <xdr:col>7</xdr:col>
      <xdr:colOff>99060</xdr:colOff>
      <xdr:row>32</xdr:row>
      <xdr:rowOff>60960</xdr:rowOff>
    </xdr:to>
    <xdr:pic>
      <xdr:nvPicPr>
        <xdr:cNvPr id="3074" name="Picture 2" descr="C:\Users\dell\AppData\Roaming\Tencent\Users\517519840\QQ\WinTemp\RichOle\BOFN{X3Q0X$L8}~](@0Q${W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206240"/>
          <a:ext cx="4366260" cy="17068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16</xdr:col>
      <xdr:colOff>190500</xdr:colOff>
      <xdr:row>58</xdr:row>
      <xdr:rowOff>114300</xdr:rowOff>
    </xdr:to>
    <xdr:pic>
      <xdr:nvPicPr>
        <xdr:cNvPr id="3075" name="Picture 3" descr="C:\Users\dell\AppData\Roaming\Tencent\Users\517519840\QQ\WinTemp\RichOle\](W_$8N43DH{_2P3CYI{I7U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035040"/>
          <a:ext cx="9944100" cy="46863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60</xdr:row>
      <xdr:rowOff>0</xdr:rowOff>
    </xdr:from>
    <xdr:to>
      <xdr:col>15</xdr:col>
      <xdr:colOff>304800</xdr:colOff>
      <xdr:row>87</xdr:row>
      <xdr:rowOff>38100</xdr:rowOff>
    </xdr:to>
    <xdr:pic>
      <xdr:nvPicPr>
        <xdr:cNvPr id="3076" name="Picture 4" descr="C:\Users\dell\AppData\Roaming\Tencent\Users\517519840\QQ\WinTemp\RichOle\O9{FCB8_58S05R7[1NWIU98.png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10972800"/>
          <a:ext cx="9448800" cy="49758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90</xdr:row>
      <xdr:rowOff>68580</xdr:rowOff>
    </xdr:from>
    <xdr:to>
      <xdr:col>10</xdr:col>
      <xdr:colOff>174395</xdr:colOff>
      <xdr:row>111</xdr:row>
      <xdr:rowOff>144780</xdr:rowOff>
    </xdr:to>
    <xdr:pic>
      <xdr:nvPicPr>
        <xdr:cNvPr id="3077" name="Picture 5" descr="C:\Users\dell\AppData\Roaming\Tencent\Users\517519840\QQ\WinTemp\RichOle\96_W$_2}QXGEVP8G7EKG$W0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6527780"/>
          <a:ext cx="6270395" cy="3916680"/>
        </a:xfrm>
        <a:prstGeom prst="rect">
          <a:avLst/>
        </a:prstGeom>
        <a:noFill/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99060</xdr:colOff>
      <xdr:row>0</xdr:row>
      <xdr:rowOff>114300</xdr:rowOff>
    </xdr:from>
    <xdr:to>
      <xdr:col>10</xdr:col>
      <xdr:colOff>441960</xdr:colOff>
      <xdr:row>29</xdr:row>
      <xdr:rowOff>0</xdr:rowOff>
    </xdr:to>
    <xdr:pic>
      <xdr:nvPicPr>
        <xdr:cNvPr id="2049" name="Picture 1" descr="C:\Users\dell\AppData\Roaming\Tencent\Users\517519840\QQ\WinTemp\RichOle\E[P@9HYV}JFHMV)S5OOPXV5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99060" y="114300"/>
          <a:ext cx="6438900" cy="5189220"/>
        </a:xfrm>
        <a:prstGeom prst="rect">
          <a:avLst/>
        </a:prstGeom>
        <a:noFill/>
      </xdr:spPr>
    </xdr:pic>
    <xdr:clientData/>
  </xdr:twoCellAnchor>
  <xdr:twoCellAnchor editAs="oneCell">
    <xdr:from>
      <xdr:col>10</xdr:col>
      <xdr:colOff>358140</xdr:colOff>
      <xdr:row>17</xdr:row>
      <xdr:rowOff>99060</xdr:rowOff>
    </xdr:from>
    <xdr:to>
      <xdr:col>14</xdr:col>
      <xdr:colOff>563880</xdr:colOff>
      <xdr:row>24</xdr:row>
      <xdr:rowOff>114300</xdr:rowOff>
    </xdr:to>
    <xdr:pic>
      <xdr:nvPicPr>
        <xdr:cNvPr id="2050" name="Picture 2" descr="C:\Users\dell\AppData\Roaming\Tencent\Users\517519840\QQ\WinTemp\RichOle\NM]`VJME(C}`41O8KJN%Q$9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32490" t="2299"/>
        <a:stretch>
          <a:fillRect/>
        </a:stretch>
      </xdr:blipFill>
      <xdr:spPr bwMode="auto">
        <a:xfrm>
          <a:off x="6454140" y="3208020"/>
          <a:ext cx="2644140" cy="12954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9</xdr:col>
      <xdr:colOff>266700</xdr:colOff>
      <xdr:row>44</xdr:row>
      <xdr:rowOff>53340</xdr:rowOff>
    </xdr:to>
    <xdr:pic>
      <xdr:nvPicPr>
        <xdr:cNvPr id="2051" name="Picture 3" descr="C:\Users\dell\AppData\Roaming\Tencent\Users\517519840\QQ\WinTemp\RichOle\82B2O5TSU52PLYS43@~77AH.jp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486400"/>
          <a:ext cx="5753100" cy="2613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46</xdr:row>
      <xdr:rowOff>0</xdr:rowOff>
    </xdr:from>
    <xdr:to>
      <xdr:col>8</xdr:col>
      <xdr:colOff>228600</xdr:colOff>
      <xdr:row>67</xdr:row>
      <xdr:rowOff>38100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0" y="8412480"/>
          <a:ext cx="5105400" cy="38785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68</xdr:row>
      <xdr:rowOff>121920</xdr:rowOff>
    </xdr:from>
    <xdr:to>
      <xdr:col>8</xdr:col>
      <xdr:colOff>533399</xdr:colOff>
      <xdr:row>82</xdr:row>
      <xdr:rowOff>106995</xdr:rowOff>
    </xdr:to>
    <xdr:pic>
      <xdr:nvPicPr>
        <xdr:cNvPr id="2053" name="Picture 5" descr="C:\Users\dell\AppData\Roaming\Tencent\Users\517519840\QQ\WinTemp\RichOle\~S]BB0W$6RONP@~}{}[7I64.png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t="28630"/>
        <a:stretch>
          <a:fillRect/>
        </a:stretch>
      </xdr:blipFill>
      <xdr:spPr bwMode="auto">
        <a:xfrm>
          <a:off x="0" y="12557760"/>
          <a:ext cx="5410199" cy="2545395"/>
        </a:xfrm>
        <a:prstGeom prst="rect">
          <a:avLst/>
        </a:prstGeom>
        <a:noFill/>
      </xdr:spPr>
    </xdr:pic>
    <xdr:clientData/>
  </xdr:twoCellAnchor>
  <xdr:twoCellAnchor editAs="oneCell">
    <xdr:from>
      <xdr:col>9</xdr:col>
      <xdr:colOff>0</xdr:colOff>
      <xdr:row>75</xdr:row>
      <xdr:rowOff>0</xdr:rowOff>
    </xdr:from>
    <xdr:to>
      <xdr:col>14</xdr:col>
      <xdr:colOff>30480</xdr:colOff>
      <xdr:row>82</xdr:row>
      <xdr:rowOff>53340</xdr:rowOff>
    </xdr:to>
    <xdr:pic>
      <xdr:nvPicPr>
        <xdr:cNvPr id="2054" name="Picture 6" descr="C:\Users\dell\AppData\Roaming\Tencent\Users\517519840\QQ\WinTemp\RichOle\YLCRDT6[BM22UT1DFA[OC$A.pn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5486400" y="13716000"/>
          <a:ext cx="3078480" cy="1333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84</xdr:row>
      <xdr:rowOff>137160</xdr:rowOff>
    </xdr:from>
    <xdr:to>
      <xdr:col>9</xdr:col>
      <xdr:colOff>259080</xdr:colOff>
      <xdr:row>97</xdr:row>
      <xdr:rowOff>129540</xdr:rowOff>
    </xdr:to>
    <xdr:pic>
      <xdr:nvPicPr>
        <xdr:cNvPr id="2055" name="Picture 7" descr="C:\Users\dell\AppData\Roaming\Tencent\Users\517519840\QQ\WinTemp\RichOle\5JL$BWAKK_}_S%PR5{5O9}5.png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0" y="15499080"/>
          <a:ext cx="5745480" cy="23698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99</xdr:row>
      <xdr:rowOff>0</xdr:rowOff>
    </xdr:from>
    <xdr:to>
      <xdr:col>11</xdr:col>
      <xdr:colOff>274320</xdr:colOff>
      <xdr:row>126</xdr:row>
      <xdr:rowOff>152400</xdr:rowOff>
    </xdr:to>
    <xdr:pic>
      <xdr:nvPicPr>
        <xdr:cNvPr id="2056" name="Picture 8" descr="C:\Users\dell\AppData\Roaming\Tencent\Users\517519840\QQ\WinTemp\RichOle\@YB_AF%AZN7~)14~{{U_D}C.png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0" y="18105120"/>
          <a:ext cx="6979920" cy="5090160"/>
        </a:xfrm>
        <a:prstGeom prst="rect">
          <a:avLst/>
        </a:prstGeom>
        <a:noFill/>
      </xdr:spPr>
    </xdr:pic>
    <xdr:clientData/>
  </xdr:twoCellAnchor>
  <xdr:twoCellAnchor editAs="oneCell">
    <xdr:from>
      <xdr:col>11</xdr:col>
      <xdr:colOff>228600</xdr:colOff>
      <xdr:row>113</xdr:row>
      <xdr:rowOff>175260</xdr:rowOff>
    </xdr:from>
    <xdr:to>
      <xdr:col>15</xdr:col>
      <xdr:colOff>388620</xdr:colOff>
      <xdr:row>127</xdr:row>
      <xdr:rowOff>91440</xdr:rowOff>
    </xdr:to>
    <xdr:pic>
      <xdr:nvPicPr>
        <xdr:cNvPr id="2057" name="Picture 9" descr="C:\Users\dell\AppData\Roaming\Tencent\Users\517519840\QQ\WinTemp\RichOle\P`0ZO(0DLB935{YH][Q_PON.jpg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934200" y="20840700"/>
          <a:ext cx="2598420" cy="24765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128</xdr:row>
      <xdr:rowOff>0</xdr:rowOff>
    </xdr:from>
    <xdr:to>
      <xdr:col>12</xdr:col>
      <xdr:colOff>304800</xdr:colOff>
      <xdr:row>158</xdr:row>
      <xdr:rowOff>0</xdr:rowOff>
    </xdr:to>
    <xdr:pic>
      <xdr:nvPicPr>
        <xdr:cNvPr id="2058" name="Picture 10" descr="C:\Users\dell\AppData\Roaming\Tencent\Users\517519840\QQ\WinTemp\RichOle\HHZKROIKE77`HZ)9Z5}CAJY.png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0" y="23408640"/>
          <a:ext cx="7620000" cy="548640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342900</xdr:colOff>
      <xdr:row>146</xdr:row>
      <xdr:rowOff>114300</xdr:rowOff>
    </xdr:from>
    <xdr:to>
      <xdr:col>18</xdr:col>
      <xdr:colOff>327660</xdr:colOff>
      <xdr:row>158</xdr:row>
      <xdr:rowOff>38100</xdr:rowOff>
    </xdr:to>
    <xdr:pic>
      <xdr:nvPicPr>
        <xdr:cNvPr id="2059" name="Picture 11" descr="C:\Users\dell\AppData\Roaming\Tencent\Users\517519840\QQ\WinTemp\RichOle\0H~6DI[UHK_[P_WVTFRB27K.png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7658100" y="26814780"/>
          <a:ext cx="3642360" cy="21183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159</xdr:row>
      <xdr:rowOff>0</xdr:rowOff>
    </xdr:from>
    <xdr:to>
      <xdr:col>13</xdr:col>
      <xdr:colOff>144780</xdr:colOff>
      <xdr:row>179</xdr:row>
      <xdr:rowOff>76200</xdr:rowOff>
    </xdr:to>
    <xdr:pic>
      <xdr:nvPicPr>
        <xdr:cNvPr id="2060" name="Picture 12" descr="C:\Users\dell\AppData\Roaming\Tencent\Users\517519840\QQ\WinTemp\RichOle\5[RD94K`4S(LRF{K)UQSB1X.png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0" y="29077920"/>
          <a:ext cx="8069580" cy="3733800"/>
        </a:xfrm>
        <a:prstGeom prst="rect">
          <a:avLst/>
        </a:prstGeom>
        <a:noFill/>
      </xdr:spPr>
    </xdr:pic>
    <xdr:clientData/>
  </xdr:twoCellAnchor>
  <xdr:twoCellAnchor editAs="oneCell">
    <xdr:from>
      <xdr:col>13</xdr:col>
      <xdr:colOff>266700</xdr:colOff>
      <xdr:row>169</xdr:row>
      <xdr:rowOff>53340</xdr:rowOff>
    </xdr:from>
    <xdr:to>
      <xdr:col>18</xdr:col>
      <xdr:colOff>121920</xdr:colOff>
      <xdr:row>179</xdr:row>
      <xdr:rowOff>0</xdr:rowOff>
    </xdr:to>
    <xdr:pic>
      <xdr:nvPicPr>
        <xdr:cNvPr id="2061" name="Picture 13" descr="C:\Users\dell\AppData\Roaming\Tencent\Users\517519840\QQ\WinTemp\RichOle\8~NFT`UK5_V0TC27Q5F0(4X.png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8191500" y="30960060"/>
          <a:ext cx="2903220" cy="17754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180</xdr:row>
      <xdr:rowOff>0</xdr:rowOff>
    </xdr:from>
    <xdr:to>
      <xdr:col>13</xdr:col>
      <xdr:colOff>403860</xdr:colOff>
      <xdr:row>199</xdr:row>
      <xdr:rowOff>129540</xdr:rowOff>
    </xdr:to>
    <xdr:pic>
      <xdr:nvPicPr>
        <xdr:cNvPr id="2062" name="Picture 14" descr="C:\Users\dell\AppData\Roaming\Tencent\Users\517519840\QQ\WinTemp\RichOle\LT9GEN_)}OUR3YS~(62)CFL.png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32918400"/>
          <a:ext cx="8328660" cy="360426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0</xdr:colOff>
      <xdr:row>191</xdr:row>
      <xdr:rowOff>0</xdr:rowOff>
    </xdr:from>
    <xdr:to>
      <xdr:col>18</xdr:col>
      <xdr:colOff>38100</xdr:colOff>
      <xdr:row>200</xdr:row>
      <xdr:rowOff>53340</xdr:rowOff>
    </xdr:to>
    <xdr:pic>
      <xdr:nvPicPr>
        <xdr:cNvPr id="2063" name="Picture 15" descr="C:\Users\dell\AppData\Roaming\Tencent\Users\517519840\QQ\WinTemp\RichOle\P[{YTZGFMQ$CL157XYG_RUR.png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534400" y="34930080"/>
          <a:ext cx="2476500" cy="16992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201</xdr:row>
      <xdr:rowOff>0</xdr:rowOff>
    </xdr:from>
    <xdr:to>
      <xdr:col>12</xdr:col>
      <xdr:colOff>213360</xdr:colOff>
      <xdr:row>223</xdr:row>
      <xdr:rowOff>99060</xdr:rowOff>
    </xdr:to>
    <xdr:pic>
      <xdr:nvPicPr>
        <xdr:cNvPr id="2064" name="Picture 16" descr="C:\Users\dell\AppData\Roaming\Tencent\Users\517519840\QQ\WinTemp\RichOle\I]QH3BC8Q0`)%F2ET8U3S81.jpg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0" y="36758880"/>
          <a:ext cx="7528560" cy="4122420"/>
        </a:xfrm>
        <a:prstGeom prst="rect">
          <a:avLst/>
        </a:prstGeom>
        <a:noFill/>
      </xdr:spPr>
    </xdr:pic>
    <xdr:clientData/>
  </xdr:twoCellAnchor>
  <xdr:twoCellAnchor editAs="oneCell">
    <xdr:from>
      <xdr:col>12</xdr:col>
      <xdr:colOff>251460</xdr:colOff>
      <xdr:row>209</xdr:row>
      <xdr:rowOff>68580</xdr:rowOff>
    </xdr:from>
    <xdr:to>
      <xdr:col>18</xdr:col>
      <xdr:colOff>182880</xdr:colOff>
      <xdr:row>220</xdr:row>
      <xdr:rowOff>68580</xdr:rowOff>
    </xdr:to>
    <xdr:pic>
      <xdr:nvPicPr>
        <xdr:cNvPr id="2065" name="Picture 17" descr="C:\Users\dell\AppData\Roaming\Tencent\Users\517519840\QQ\WinTemp\RichOle\42KTGB6BPGHVH)[A@FYXP_A.png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7566660" y="38290500"/>
          <a:ext cx="3589020" cy="201168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225</xdr:row>
      <xdr:rowOff>0</xdr:rowOff>
    </xdr:from>
    <xdr:to>
      <xdr:col>13</xdr:col>
      <xdr:colOff>457200</xdr:colOff>
      <xdr:row>239</xdr:row>
      <xdr:rowOff>175260</xdr:rowOff>
    </xdr:to>
    <xdr:pic>
      <xdr:nvPicPr>
        <xdr:cNvPr id="3073" name="Picture 1" descr="C:\Users\dell\AppData\Roaming\Tencent\Users\517519840\QQ\WinTemp\RichOle\[5$AEPE)L{O9BQTC_%H]([J.png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41148000"/>
          <a:ext cx="8382000" cy="2735580"/>
        </a:xfrm>
        <a:prstGeom prst="rect">
          <a:avLst/>
        </a:prstGeom>
        <a:noFill/>
      </xdr:spPr>
    </xdr:pic>
    <xdr:clientData/>
  </xdr:twoCellAnchor>
  <xdr:twoCellAnchor editAs="oneCell">
    <xdr:from>
      <xdr:col>14</xdr:col>
      <xdr:colOff>38100</xdr:colOff>
      <xdr:row>227</xdr:row>
      <xdr:rowOff>68580</xdr:rowOff>
    </xdr:from>
    <xdr:to>
      <xdr:col>18</xdr:col>
      <xdr:colOff>182880</xdr:colOff>
      <xdr:row>239</xdr:row>
      <xdr:rowOff>106680</xdr:rowOff>
    </xdr:to>
    <xdr:pic>
      <xdr:nvPicPr>
        <xdr:cNvPr id="3074" name="Picture 2" descr="C:\Users\dell\AppData\Roaming\Tencent\Users\517519840\QQ\WinTemp\RichOle\YUF}7`J7YR_P2P61WJ}4C]7.jpg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572500" y="41582340"/>
          <a:ext cx="2583180" cy="22326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53340</xdr:colOff>
      <xdr:row>240</xdr:row>
      <xdr:rowOff>129540</xdr:rowOff>
    </xdr:from>
    <xdr:to>
      <xdr:col>15</xdr:col>
      <xdr:colOff>99060</xdr:colOff>
      <xdr:row>254</xdr:row>
      <xdr:rowOff>121920</xdr:rowOff>
    </xdr:to>
    <xdr:pic>
      <xdr:nvPicPr>
        <xdr:cNvPr id="3076" name="Picture 4" descr="C:\Users\dell\AppData\Roaming\Tencent\Users\517519840\QQ\WinTemp\RichOle\Z_)0L(Q[V[G)AW5DZ]P0`(D.png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53340" y="44020740"/>
          <a:ext cx="9189720" cy="2552700"/>
        </a:xfrm>
        <a:prstGeom prst="rect">
          <a:avLst/>
        </a:prstGeom>
        <a:noFill/>
      </xdr:spPr>
    </xdr:pic>
    <xdr:clientData/>
  </xdr:twoCellAnchor>
  <xdr:twoCellAnchor editAs="oneCell">
    <xdr:from>
      <xdr:col>15</xdr:col>
      <xdr:colOff>0</xdr:colOff>
      <xdr:row>242</xdr:row>
      <xdr:rowOff>0</xdr:rowOff>
    </xdr:from>
    <xdr:to>
      <xdr:col>19</xdr:col>
      <xdr:colOff>76200</xdr:colOff>
      <xdr:row>256</xdr:row>
      <xdr:rowOff>15240</xdr:rowOff>
    </xdr:to>
    <xdr:pic>
      <xdr:nvPicPr>
        <xdr:cNvPr id="3077" name="Picture 5" descr="C:\Users\dell\AppData\Roaming\Tencent\Users\517519840\QQ\WinTemp\RichOle\[7I[$70RSS(J8@Y5$8K~BMP.png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9144000" y="44256960"/>
          <a:ext cx="2514600" cy="2575560"/>
        </a:xfrm>
        <a:prstGeom prst="rect">
          <a:avLst/>
        </a:prstGeom>
        <a:noFill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1</xdr:col>
      <xdr:colOff>4130040</xdr:colOff>
      <xdr:row>25</xdr:row>
      <xdr:rowOff>175260</xdr:rowOff>
    </xdr:to>
    <xdr:pic>
      <xdr:nvPicPr>
        <xdr:cNvPr id="6145" name="Picture 1" descr="D:\QQ\517519840\Image\Image1\[$9YV[5LS~~[LQB}TXC5JRB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5455920" cy="3832860"/>
        </a:xfrm>
        <a:prstGeom prst="rect">
          <a:avLst/>
        </a:prstGeom>
        <a:noFill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14</xdr:row>
      <xdr:rowOff>83820</xdr:rowOff>
    </xdr:from>
    <xdr:to>
      <xdr:col>1</xdr:col>
      <xdr:colOff>3672840</xdr:colOff>
      <xdr:row>31</xdr:row>
      <xdr:rowOff>60960</xdr:rowOff>
    </xdr:to>
    <xdr:pic>
      <xdr:nvPicPr>
        <xdr:cNvPr id="2" name="图片 1" descr="D:\QQ\517519840\Image\Image1\R1{4C3QCJ8QDI97P2]9XXKB.jpg"/>
        <xdr:cNvPicPr/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2644140"/>
          <a:ext cx="4998720" cy="308610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15240</xdr:colOff>
      <xdr:row>32</xdr:row>
      <xdr:rowOff>45720</xdr:rowOff>
    </xdr:from>
    <xdr:to>
      <xdr:col>1</xdr:col>
      <xdr:colOff>3901440</xdr:colOff>
      <xdr:row>38</xdr:row>
      <xdr:rowOff>45720</xdr:rowOff>
    </xdr:to>
    <xdr:pic>
      <xdr:nvPicPr>
        <xdr:cNvPr id="3" name="图片 2" descr="D:\QQ\517519840\Image\Image1\9H@B}CSZZ4R8IVR_5O}3(`3.jpg"/>
        <xdr:cNvPicPr/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5240" y="5897880"/>
          <a:ext cx="5212080" cy="10972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45</xdr:row>
      <xdr:rowOff>121920</xdr:rowOff>
    </xdr:from>
    <xdr:to>
      <xdr:col>1</xdr:col>
      <xdr:colOff>4084320</xdr:colOff>
      <xdr:row>61</xdr:row>
      <xdr:rowOff>83820</xdr:rowOff>
    </xdr:to>
    <xdr:pic>
      <xdr:nvPicPr>
        <xdr:cNvPr id="4" name="图片 3" descr="D:\QQ\517519840\Image\Image1\VLQQDDXI%$UH0L)AKK]$N@V.jpg"/>
        <xdr:cNvPicPr/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8351520"/>
          <a:ext cx="5410200" cy="28879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60960</xdr:colOff>
      <xdr:row>37</xdr:row>
      <xdr:rowOff>175260</xdr:rowOff>
    </xdr:from>
    <xdr:to>
      <xdr:col>1</xdr:col>
      <xdr:colOff>2221230</xdr:colOff>
      <xdr:row>46</xdr:row>
      <xdr:rowOff>57220</xdr:rowOff>
    </xdr:to>
    <xdr:pic>
      <xdr:nvPicPr>
        <xdr:cNvPr id="5" name="图片 4" descr="D:\QQ\517519840\Image\Image1\V7QWRL$(YGQB4$I$TIKN0`6.jpg"/>
        <xdr:cNvPicPr/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" y="6941820"/>
          <a:ext cx="3486150" cy="152788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38100</xdr:colOff>
      <xdr:row>61</xdr:row>
      <xdr:rowOff>160020</xdr:rowOff>
    </xdr:from>
    <xdr:to>
      <xdr:col>1</xdr:col>
      <xdr:colOff>1718310</xdr:colOff>
      <xdr:row>72</xdr:row>
      <xdr:rowOff>154193</xdr:rowOff>
    </xdr:to>
    <xdr:pic>
      <xdr:nvPicPr>
        <xdr:cNvPr id="6" name="图片 5" descr="D:\QQ\517519840\Image\Image1\NZNVI0Q5R7NR3TERFB[MFR6.jpg"/>
        <xdr:cNvPicPr/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38100" y="11315700"/>
          <a:ext cx="3006090" cy="2005853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0</xdr:colOff>
      <xdr:row>4</xdr:row>
      <xdr:rowOff>38100</xdr:rowOff>
    </xdr:from>
    <xdr:to>
      <xdr:col>1</xdr:col>
      <xdr:colOff>3619500</xdr:colOff>
      <xdr:row>13</xdr:row>
      <xdr:rowOff>159385</xdr:rowOff>
    </xdr:to>
    <xdr:pic>
      <xdr:nvPicPr>
        <xdr:cNvPr id="7169" name="Picture 1" descr="D:\QQ\517519840\Image\Image1\1~6F1QY@S[WD2[}M[_5E7@V.jpg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0" y="769620"/>
          <a:ext cx="4945380" cy="1767205"/>
        </a:xfrm>
        <a:prstGeom prst="rect">
          <a:avLst/>
        </a:prstGeom>
        <a:noFill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5</xdr:row>
      <xdr:rowOff>0</xdr:rowOff>
    </xdr:from>
    <xdr:to>
      <xdr:col>8</xdr:col>
      <xdr:colOff>541020</xdr:colOff>
      <xdr:row>31</xdr:row>
      <xdr:rowOff>160020</xdr:rowOff>
    </xdr:to>
    <xdr:pic>
      <xdr:nvPicPr>
        <xdr:cNvPr id="1025" name="Picture 1" descr="D:\QQ\517519840\Image\Z(@KUP_JNHD{1A(JVK38MWI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400"/>
          <a:ext cx="6134100" cy="491490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33</xdr:row>
      <xdr:rowOff>0</xdr:rowOff>
    </xdr:from>
    <xdr:to>
      <xdr:col>8</xdr:col>
      <xdr:colOff>601980</xdr:colOff>
      <xdr:row>45</xdr:row>
      <xdr:rowOff>129540</xdr:rowOff>
    </xdr:to>
    <xdr:pic>
      <xdr:nvPicPr>
        <xdr:cNvPr id="1026" name="Picture 2" descr="D:\QQ\517519840\Image\40$~~SG1`V[{8~2](XUEU4X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6035040"/>
          <a:ext cx="6195060" cy="2324100"/>
        </a:xfrm>
        <a:prstGeom prst="rect">
          <a:avLst/>
        </a:prstGeom>
        <a:noFill/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</xdr:row>
      <xdr:rowOff>0</xdr:rowOff>
    </xdr:from>
    <xdr:to>
      <xdr:col>0</xdr:col>
      <xdr:colOff>2537460</xdr:colOff>
      <xdr:row>19</xdr:row>
      <xdr:rowOff>7620</xdr:rowOff>
    </xdr:to>
    <xdr:pic>
      <xdr:nvPicPr>
        <xdr:cNvPr id="2053" name="Picture 5" descr="D:\QQ\517519840\Image\750A737352C5AB0E7AA87DCA184F5FF1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1097280"/>
          <a:ext cx="2537460" cy="238506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21</xdr:row>
      <xdr:rowOff>0</xdr:rowOff>
    </xdr:from>
    <xdr:to>
      <xdr:col>0</xdr:col>
      <xdr:colOff>2705100</xdr:colOff>
      <xdr:row>33</xdr:row>
      <xdr:rowOff>60960</xdr:rowOff>
    </xdr:to>
    <xdr:pic>
      <xdr:nvPicPr>
        <xdr:cNvPr id="2054" name="Picture 6" descr="D:\QQ\517519840\Image\7A902188782FE2D59FB525C2E549F59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3840480"/>
          <a:ext cx="2705100" cy="2255520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35</xdr:row>
      <xdr:rowOff>0</xdr:rowOff>
    </xdr:from>
    <xdr:to>
      <xdr:col>0</xdr:col>
      <xdr:colOff>2141220</xdr:colOff>
      <xdr:row>47</xdr:row>
      <xdr:rowOff>0</xdr:rowOff>
    </xdr:to>
    <xdr:pic>
      <xdr:nvPicPr>
        <xdr:cNvPr id="2055" name="Picture 7" descr="D:\QQ\517519840\Image\C990358A012B241BB9545735BBC8DBDA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6400800"/>
          <a:ext cx="2141220" cy="2194560"/>
        </a:xfrm>
        <a:prstGeom prst="rect">
          <a:avLst/>
        </a:prstGeom>
        <a:noFill/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4</xdr:row>
      <xdr:rowOff>182879</xdr:rowOff>
    </xdr:from>
    <xdr:to>
      <xdr:col>5</xdr:col>
      <xdr:colOff>434340</xdr:colOff>
      <xdr:row>21</xdr:row>
      <xdr:rowOff>81920</xdr:rowOff>
    </xdr:to>
    <xdr:pic>
      <xdr:nvPicPr>
        <xdr:cNvPr id="3073" name="Picture 1" descr="C:\Users\dell\AppData\Roaming\Tencent\Users\517519840\QQ\WinTemp\RichOle\YI[Y85W[Q0S%X0X8%SZH9PM.jp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914399"/>
          <a:ext cx="3482340" cy="3008001"/>
        </a:xfrm>
        <a:prstGeom prst="rect">
          <a:avLst/>
        </a:prstGeom>
        <a:noFill/>
      </xdr:spPr>
    </xdr:pic>
    <xdr:clientData/>
  </xdr:twoCellAnchor>
  <xdr:twoCellAnchor editAs="oneCell">
    <xdr:from>
      <xdr:col>0</xdr:col>
      <xdr:colOff>0</xdr:colOff>
      <xdr:row>22</xdr:row>
      <xdr:rowOff>99060</xdr:rowOff>
    </xdr:from>
    <xdr:to>
      <xdr:col>5</xdr:col>
      <xdr:colOff>156667</xdr:colOff>
      <xdr:row>31</xdr:row>
      <xdr:rowOff>160020</xdr:rowOff>
    </xdr:to>
    <xdr:pic>
      <xdr:nvPicPr>
        <xdr:cNvPr id="3074" name="Picture 2" descr="C:\Users\dell\AppData\Roaming\Tencent\Users\517519840\QQ\WinTemp\RichOle\494A)D_0FS20C4T96JI}2A4.jp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0" y="4122420"/>
          <a:ext cx="3204667" cy="1706880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drugstore.com/user/modify_order.asp?order_id=03371082509500&amp;trx=28741&amp;trxp1=0" TargetMode="External"/><Relationship Id="rId13" Type="http://schemas.openxmlformats.org/officeDocument/2006/relationships/hyperlink" Target="https://www.drugstore.com/user/modify_order.asp?order_id=03371083701500&amp;trx=28741&amp;trxp1=0" TargetMode="External"/><Relationship Id="rId3" Type="http://schemas.openxmlformats.org/officeDocument/2006/relationships/hyperlink" Target="https://www.drugstore.com/user/modify_order.asp?order_id=03364785515500&amp;trx=28741&amp;trxp1=0" TargetMode="External"/><Relationship Id="rId7" Type="http://schemas.openxmlformats.org/officeDocument/2006/relationships/hyperlink" Target="https://www.drugstore.com/user/modify_order.asp?order_id=03371082509500&amp;trx=28741&amp;trxp1=0" TargetMode="External"/><Relationship Id="rId12" Type="http://schemas.openxmlformats.org/officeDocument/2006/relationships/hyperlink" Target="https://www.drugstore.com/user/modify_order.asp?order_id=03371083645500&amp;trx=28741&amp;trxp1=0" TargetMode="External"/><Relationship Id="rId2" Type="http://schemas.openxmlformats.org/officeDocument/2006/relationships/hyperlink" Target="https://e.coach.com/pub/cc?_ri_=X0Gzc2X%3DWQpglLjHJlTQGubWy16BgWYUzes4NAYzazcNGNzb9tzdoq8nVXtpKX%3DTTUCYT&amp;_ei_=EolaGGF4SNMvxFF7KucKuWOIF5v3YqDs2oD2Zm1_PPV907BD3hGax9575uO1GrHWGRgJG6EivCTse4ixApcs_g0XIj4_2in42BRBEQCVI86_UkEokWLre102fvQZCwGsRWg8hRc0MX1juQvpLnMlT-tUok_1ik5mtJZK6momHOE1A2VcQ1_5IzOZP2ZvRyx-0FHpp3WUCSzexTSQ0AzECrbq4WS6Q0hvg8lj_g8WM_qS0eWPYp129TC-iGEHi0TogyygOGpwddU0rbJLVXBxC7aqsJ8BS0WmG9TuV7ekjN5H_qiAPX4LLUW_jcnXqy4TYQaqn8gpkNKFIaBU_k9bpi5Jk-MuPynTc5B76mSAUZbNrbO3NUy9-YMYuc3aAaE." TargetMode="External"/><Relationship Id="rId16" Type="http://schemas.openxmlformats.org/officeDocument/2006/relationships/printerSettings" Target="../printerSettings/printerSettings1.bin"/><Relationship Id="rId1" Type="http://schemas.openxmlformats.org/officeDocument/2006/relationships/hyperlink" Target="https://e.coach.com/pub/cc?_ri_=X0Gzc2X%3DWQpglLjHJlTQGubWy16BgWYUzes4NAYzazcNGNzb9tzdoq8nVXtpKX%3DTTUCYT&amp;_ei_=EolaGGF4SNMvxFF7KucKuWOIF5v3YqDs2oD2Zm1_PPV907BD3hGax9575uO1GrHWGQdcDE7tkxLT4uzto7AGcb15Fw9L5z76MpGvvSw_vwnakOtLRNaUjdbLImRktTXSSbVY0NYUInMWO1euB2tR4sMW9tMCx8vNSNvatYrMxIAMkFX--6w78ZfZ2Wras8jHUnUBY3WKjjn9N_TXjt30qTgHJIaFkDUvFYkTGyIblKCcDKod4fAqmZQfeGYQSwRVFPxn7lKpGZ3KHuRi8bUwmRJgh02yRgG2owCiVPzZkggC1u6INlhTy4UXkSlj0Fb1mM2n71aNcC4zwYWRTFJ09M2RTxmyeTif6-5ow0yejIOn8OXAJtq00z7_R-ReXjw." TargetMode="External"/><Relationship Id="rId6" Type="http://schemas.openxmlformats.org/officeDocument/2006/relationships/hyperlink" Target="https://www.drugstore.com/user/modify_order.asp?order_id=03371083645500&amp;trx=28741&amp;trxp1=0" TargetMode="External"/><Relationship Id="rId11" Type="http://schemas.openxmlformats.org/officeDocument/2006/relationships/hyperlink" Target="https://www.drugstore.com/user/modify_order.asp?order_id=03371083645500&amp;trx=28741&amp;trxp1=0" TargetMode="External"/><Relationship Id="rId5" Type="http://schemas.openxmlformats.org/officeDocument/2006/relationships/hyperlink" Target="https://www.drugstore.com/user/modify_order.asp?order_id=03371082569500&amp;trx=28741&amp;trxp1=0" TargetMode="External"/><Relationship Id="rId15" Type="http://schemas.openxmlformats.org/officeDocument/2006/relationships/hyperlink" Target="https://www.drugstore.com/user/modify_order.asp?order_id=03371083645500&amp;trx=28741&amp;trxp1=0" TargetMode="External"/><Relationship Id="rId10" Type="http://schemas.openxmlformats.org/officeDocument/2006/relationships/hyperlink" Target="https://www.drugstore.com/user/modify_order.asp?order_id=03371083645500&amp;trx=28741&amp;trxp1=0" TargetMode="External"/><Relationship Id="rId4" Type="http://schemas.openxmlformats.org/officeDocument/2006/relationships/hyperlink" Target="https://www.drugstore.com/user/modify_order.asp?order_id=03371082509500&amp;trx=28741&amp;trxp1=0" TargetMode="External"/><Relationship Id="rId9" Type="http://schemas.openxmlformats.org/officeDocument/2006/relationships/hyperlink" Target="https://www.drugstore.com/user/modify_order.asp?order_id=03371082509500&amp;trx=28741&amp;trxp1=0" TargetMode="External"/><Relationship Id="rId14" Type="http://schemas.openxmlformats.org/officeDocument/2006/relationships/hyperlink" Target="https://www.drugstore.com/user/modify_order.asp?order_id=03371083645500&amp;trx=28741&amp;trxp1=0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s://www.drugstore.com/user/modify_order.asp?order_id=03357191803100&amp;trx=28741&amp;trxp1=0" TargetMode="Externa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6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8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s://www.drugstore.com/user/modify_order.asp?order_id=03359615280100&amp;trx=28741&amp;trxp1=0" TargetMode="Externa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1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5.xml"/><Relationship Id="rId1" Type="http://schemas.openxmlformats.org/officeDocument/2006/relationships/printerSettings" Target="../printerSettings/printerSettings13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4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15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16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7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18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19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20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4.xml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21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22.bin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23.bin"/></Relationships>
</file>

<file path=xl/worksheets/_rels/sheet4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5.xml"/><Relationship Id="rId1" Type="http://schemas.openxmlformats.org/officeDocument/2006/relationships/printerSettings" Target="../printerSettings/printerSettings24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366"/>
  <sheetViews>
    <sheetView tabSelected="1" zoomScaleNormal="100" workbookViewId="0">
      <pane ySplit="1" topLeftCell="A282" activePane="bottomLeft" state="frozen"/>
      <selection pane="bottomLeft" activeCell="F296" sqref="F296"/>
    </sheetView>
  </sheetViews>
  <sheetFormatPr defaultRowHeight="14.1"/>
  <cols>
    <col min="1" max="1" width="8.89453125" style="18"/>
    <col min="2" max="2" width="10.5234375" bestFit="1" customWidth="1"/>
    <col min="3" max="3" width="78.68359375" bestFit="1" customWidth="1"/>
    <col min="4" max="4" width="44.68359375" bestFit="1" customWidth="1"/>
    <col min="5" max="5" width="16.1015625" customWidth="1"/>
    <col min="6" max="6" width="34.5234375" style="57" customWidth="1"/>
    <col min="7" max="7" width="111.5234375" bestFit="1" customWidth="1"/>
    <col min="8" max="8" width="12.5234375" style="1" customWidth="1"/>
    <col min="9" max="9" width="19" style="12" bestFit="1" customWidth="1"/>
    <col min="10" max="10" width="15.3125" style="12" bestFit="1" customWidth="1"/>
    <col min="11" max="11" width="21.7890625" style="12" customWidth="1"/>
    <col min="12" max="12" width="16.5234375" style="12" bestFit="1" customWidth="1"/>
    <col min="13" max="13" width="10.41796875" style="1" customWidth="1"/>
    <col min="14" max="14" width="15.3125" style="12" customWidth="1"/>
    <col min="15" max="15" width="12.7890625" style="1" customWidth="1"/>
    <col min="16" max="16" width="9.5234375" style="1" bestFit="1" customWidth="1"/>
    <col min="17" max="17" width="10.89453125" style="1" customWidth="1"/>
    <col min="18" max="18" width="14.41796875" style="2" customWidth="1"/>
    <col min="19" max="19" width="13.89453125" style="49" bestFit="1" customWidth="1"/>
    <col min="20" max="20" width="20.20703125" style="16" bestFit="1" customWidth="1"/>
    <col min="21" max="21" width="49.7890625" style="12" customWidth="1"/>
    <col min="22" max="22" width="10.41796875" style="95" bestFit="1" customWidth="1"/>
    <col min="23" max="23" width="13.89453125" style="12" bestFit="1" customWidth="1"/>
  </cols>
  <sheetData>
    <row r="1" spans="1:26" s="37" customFormat="1" ht="49.8" customHeight="1">
      <c r="A1" s="37" t="s">
        <v>70</v>
      </c>
      <c r="B1" s="37" t="s">
        <v>0</v>
      </c>
      <c r="C1" s="37" t="s">
        <v>1</v>
      </c>
      <c r="D1" s="37" t="s">
        <v>3</v>
      </c>
      <c r="E1" s="37" t="s">
        <v>31</v>
      </c>
      <c r="F1" s="37" t="s">
        <v>69</v>
      </c>
      <c r="G1" s="37" t="s">
        <v>7</v>
      </c>
      <c r="H1" s="36" t="s">
        <v>17</v>
      </c>
      <c r="I1" s="36" t="s">
        <v>28</v>
      </c>
      <c r="J1" s="36" t="s">
        <v>29</v>
      </c>
      <c r="K1" s="36" t="s">
        <v>39</v>
      </c>
      <c r="L1" s="36" t="s">
        <v>2</v>
      </c>
      <c r="M1" s="36" t="s">
        <v>4</v>
      </c>
      <c r="N1" s="36" t="s">
        <v>40</v>
      </c>
      <c r="O1" s="36" t="s">
        <v>12</v>
      </c>
      <c r="P1" s="36" t="s">
        <v>10</v>
      </c>
      <c r="Q1" s="36" t="s">
        <v>11</v>
      </c>
      <c r="R1" s="38" t="s">
        <v>14</v>
      </c>
      <c r="S1" s="46" t="s">
        <v>13</v>
      </c>
      <c r="T1" s="39" t="s">
        <v>37</v>
      </c>
      <c r="U1" s="36" t="s">
        <v>57</v>
      </c>
      <c r="V1" s="94" t="s">
        <v>38</v>
      </c>
      <c r="W1" s="36" t="s">
        <v>51</v>
      </c>
    </row>
    <row r="2" spans="1:26" ht="28.2">
      <c r="A2" s="77">
        <v>1</v>
      </c>
      <c r="B2" s="11" t="s">
        <v>5</v>
      </c>
      <c r="C2" t="s">
        <v>6</v>
      </c>
      <c r="D2" t="s">
        <v>9</v>
      </c>
      <c r="E2" t="s">
        <v>30</v>
      </c>
      <c r="F2" s="58" t="s">
        <v>79</v>
      </c>
      <c r="G2" t="s">
        <v>8</v>
      </c>
      <c r="H2" s="1">
        <v>258</v>
      </c>
      <c r="I2" s="12">
        <v>281.41000000000003</v>
      </c>
      <c r="J2" s="12">
        <v>283.64</v>
      </c>
      <c r="K2" s="12">
        <f>J2-I2</f>
        <v>2.2299999999999613</v>
      </c>
      <c r="L2" s="12">
        <v>26</v>
      </c>
      <c r="M2" s="1">
        <v>26</v>
      </c>
      <c r="N2" s="12">
        <f>M2-L2</f>
        <v>0</v>
      </c>
      <c r="O2" s="1">
        <v>5.32</v>
      </c>
      <c r="P2" s="1">
        <f>SUM(I2,L2)</f>
        <v>307.41000000000003</v>
      </c>
      <c r="Q2" s="1">
        <f>SUM(J2,M2,O2)</f>
        <v>314.95999999999998</v>
      </c>
      <c r="R2" s="2">
        <f>Q2*6.35</f>
        <v>1999.9959999999999</v>
      </c>
      <c r="S2" s="47">
        <v>2000</v>
      </c>
      <c r="T2" s="16">
        <v>281.41000000000003</v>
      </c>
      <c r="U2" s="12" t="s">
        <v>73</v>
      </c>
      <c r="V2" s="95">
        <v>26</v>
      </c>
      <c r="W2" s="12">
        <f>Q2-T2-V2</f>
        <v>7.5499999999999545</v>
      </c>
    </row>
    <row r="3" spans="1:26" s="7" customFormat="1">
      <c r="A3" s="32"/>
      <c r="F3" s="32"/>
      <c r="H3" s="8"/>
      <c r="I3" s="13"/>
      <c r="J3" s="13"/>
      <c r="K3" s="13"/>
      <c r="L3" s="13"/>
      <c r="M3" s="8"/>
      <c r="N3" s="13"/>
      <c r="O3" s="8"/>
      <c r="P3" s="8"/>
      <c r="Q3" s="8"/>
      <c r="R3" s="9"/>
      <c r="S3" s="48"/>
      <c r="T3" s="40"/>
      <c r="U3" s="13"/>
      <c r="V3" s="96"/>
      <c r="W3" s="13"/>
    </row>
    <row r="4" spans="1:26" s="4" customFormat="1">
      <c r="A4" s="77">
        <v>2</v>
      </c>
      <c r="B4" s="10" t="s">
        <v>15</v>
      </c>
      <c r="C4" s="4" t="s">
        <v>18</v>
      </c>
      <c r="D4" s="4" t="s">
        <v>16</v>
      </c>
      <c r="E4" s="15" t="s">
        <v>49</v>
      </c>
      <c r="F4" s="58" t="s">
        <v>71</v>
      </c>
      <c r="G4" s="4" t="s">
        <v>59</v>
      </c>
      <c r="H4" s="5">
        <v>89.5</v>
      </c>
      <c r="I4" s="14">
        <f>H4*1.07</f>
        <v>95.765000000000001</v>
      </c>
      <c r="J4" s="14">
        <f>H4*1.08</f>
        <v>96.660000000000011</v>
      </c>
      <c r="K4" s="12">
        <f t="shared" ref="K4:K42" si="0">J4-I4</f>
        <v>0.89500000000001023</v>
      </c>
      <c r="L4" s="28">
        <f>33/6</f>
        <v>5.5</v>
      </c>
      <c r="M4" s="5">
        <v>7</v>
      </c>
      <c r="N4" s="246">
        <f>SUM(M4:M9)-33</f>
        <v>10</v>
      </c>
      <c r="O4" s="5">
        <v>9.33</v>
      </c>
      <c r="P4" s="5">
        <f t="shared" ref="P4:P12" si="1">SUM(I4,L4)</f>
        <v>101.265</v>
      </c>
      <c r="Q4" s="5">
        <f t="shared" ref="Q4:Q9" si="2">SUM(J4,M4,O4)</f>
        <v>112.99000000000001</v>
      </c>
      <c r="R4" s="6">
        <f t="shared" ref="R4:R62" si="3">Q4*6.35</f>
        <v>717.48649999999998</v>
      </c>
      <c r="S4" s="47">
        <v>718</v>
      </c>
      <c r="T4" s="41"/>
      <c r="U4" s="14"/>
      <c r="V4" s="232">
        <v>33</v>
      </c>
      <c r="W4" s="246">
        <f>SUM(Q4:Q9)-T9-V4</f>
        <v>67.830000000000041</v>
      </c>
    </row>
    <row r="5" spans="1:26" s="4" customFormat="1">
      <c r="A5" s="33"/>
      <c r="C5" s="4" t="s">
        <v>25</v>
      </c>
      <c r="F5" s="33"/>
      <c r="H5" s="5">
        <v>89.5</v>
      </c>
      <c r="I5" s="14">
        <f t="shared" ref="I5:I63" si="4">H5*1.07</f>
        <v>95.765000000000001</v>
      </c>
      <c r="J5" s="14">
        <f t="shared" ref="J5:J42" si="5">H5*1.08</f>
        <v>96.660000000000011</v>
      </c>
      <c r="K5" s="12">
        <f t="shared" si="0"/>
        <v>0.89500000000001023</v>
      </c>
      <c r="L5" s="28">
        <f t="shared" ref="L5:L9" si="6">33/6</f>
        <v>5.5</v>
      </c>
      <c r="M5" s="5">
        <v>7</v>
      </c>
      <c r="N5" s="246"/>
      <c r="O5" s="5">
        <v>0</v>
      </c>
      <c r="P5" s="5">
        <f t="shared" si="1"/>
        <v>101.265</v>
      </c>
      <c r="Q5" s="5">
        <f t="shared" si="2"/>
        <v>103.66000000000001</v>
      </c>
      <c r="R5" s="6">
        <f t="shared" si="3"/>
        <v>658.24099999999999</v>
      </c>
      <c r="S5" s="47">
        <v>660</v>
      </c>
      <c r="T5" s="41"/>
      <c r="U5" s="14"/>
      <c r="V5" s="232"/>
      <c r="W5" s="246"/>
    </row>
    <row r="6" spans="1:26" s="4" customFormat="1">
      <c r="A6" s="33"/>
      <c r="C6" s="4" t="s">
        <v>19</v>
      </c>
      <c r="F6" s="33"/>
      <c r="H6" s="5">
        <v>89.5</v>
      </c>
      <c r="I6" s="14">
        <f t="shared" si="4"/>
        <v>95.765000000000001</v>
      </c>
      <c r="J6" s="14">
        <f t="shared" si="5"/>
        <v>96.660000000000011</v>
      </c>
      <c r="K6" s="12">
        <f t="shared" si="0"/>
        <v>0.89500000000001023</v>
      </c>
      <c r="L6" s="28">
        <f t="shared" si="6"/>
        <v>5.5</v>
      </c>
      <c r="M6" s="5">
        <v>7</v>
      </c>
      <c r="N6" s="246"/>
      <c r="O6" s="5">
        <v>9.33</v>
      </c>
      <c r="P6" s="5">
        <f t="shared" si="1"/>
        <v>101.265</v>
      </c>
      <c r="Q6" s="5">
        <f t="shared" si="2"/>
        <v>112.99000000000001</v>
      </c>
      <c r="R6" s="6">
        <f t="shared" si="3"/>
        <v>717.48649999999998</v>
      </c>
      <c r="S6" s="47">
        <v>718</v>
      </c>
      <c r="T6" s="41"/>
      <c r="U6" s="14"/>
      <c r="V6" s="232"/>
      <c r="W6" s="246"/>
    </row>
    <row r="7" spans="1:26" s="4" customFormat="1">
      <c r="A7" s="33"/>
      <c r="C7" s="4" t="s">
        <v>20</v>
      </c>
      <c r="F7" s="33"/>
      <c r="H7" s="5">
        <v>24</v>
      </c>
      <c r="I7" s="14">
        <f t="shared" si="4"/>
        <v>25.68</v>
      </c>
      <c r="J7" s="14">
        <f t="shared" si="5"/>
        <v>25.92</v>
      </c>
      <c r="K7" s="12">
        <f t="shared" si="0"/>
        <v>0.24000000000000199</v>
      </c>
      <c r="L7" s="28">
        <f t="shared" si="6"/>
        <v>5.5</v>
      </c>
      <c r="M7" s="5">
        <v>2</v>
      </c>
      <c r="N7" s="246"/>
      <c r="O7" s="5">
        <v>2.5</v>
      </c>
      <c r="P7" s="5">
        <f t="shared" si="1"/>
        <v>31.18</v>
      </c>
      <c r="Q7" s="5">
        <f t="shared" si="2"/>
        <v>30.42</v>
      </c>
      <c r="R7" s="6">
        <f t="shared" si="3"/>
        <v>193.167</v>
      </c>
      <c r="S7" s="47">
        <v>195</v>
      </c>
      <c r="T7" s="41"/>
      <c r="U7" s="14"/>
      <c r="V7" s="232"/>
      <c r="W7" s="246"/>
    </row>
    <row r="8" spans="1:26" s="4" customFormat="1">
      <c r="A8" s="33"/>
      <c r="C8" s="4" t="s">
        <v>21</v>
      </c>
      <c r="F8" s="33"/>
      <c r="H8" s="5">
        <v>109</v>
      </c>
      <c r="I8" s="14">
        <f t="shared" si="4"/>
        <v>116.63000000000001</v>
      </c>
      <c r="J8" s="14">
        <f t="shared" si="5"/>
        <v>117.72000000000001</v>
      </c>
      <c r="K8" s="12">
        <f t="shared" si="0"/>
        <v>1.0900000000000034</v>
      </c>
      <c r="L8" s="28">
        <f t="shared" si="6"/>
        <v>5.5</v>
      </c>
      <c r="M8" s="5">
        <v>10</v>
      </c>
      <c r="N8" s="246"/>
      <c r="O8" s="5">
        <v>11.5</v>
      </c>
      <c r="P8" s="5">
        <f t="shared" si="1"/>
        <v>122.13000000000001</v>
      </c>
      <c r="Q8" s="5">
        <f t="shared" si="2"/>
        <v>139.22000000000003</v>
      </c>
      <c r="R8" s="6">
        <f t="shared" si="3"/>
        <v>884.04700000000014</v>
      </c>
      <c r="S8" s="47">
        <v>885</v>
      </c>
      <c r="T8" s="41"/>
      <c r="U8" s="14"/>
      <c r="V8" s="232"/>
      <c r="W8" s="246"/>
    </row>
    <row r="9" spans="1:26" s="4" customFormat="1">
      <c r="A9" s="33"/>
      <c r="C9" s="4" t="s">
        <v>22</v>
      </c>
      <c r="F9" s="33"/>
      <c r="H9" s="5">
        <v>189</v>
      </c>
      <c r="I9" s="14">
        <f t="shared" si="4"/>
        <v>202.23000000000002</v>
      </c>
      <c r="J9" s="14">
        <f t="shared" si="5"/>
        <v>204.12</v>
      </c>
      <c r="K9" s="12">
        <f t="shared" si="0"/>
        <v>1.8899999999999864</v>
      </c>
      <c r="L9" s="28">
        <f t="shared" si="6"/>
        <v>5.5</v>
      </c>
      <c r="M9" s="5">
        <v>10</v>
      </c>
      <c r="N9" s="246"/>
      <c r="O9" s="5">
        <v>19.27</v>
      </c>
      <c r="P9" s="5">
        <f t="shared" si="1"/>
        <v>207.73000000000002</v>
      </c>
      <c r="Q9" s="5">
        <f t="shared" si="2"/>
        <v>233.39000000000001</v>
      </c>
      <c r="R9" s="6">
        <f t="shared" si="3"/>
        <v>1482.0264999999999</v>
      </c>
      <c r="S9" s="47">
        <v>1480</v>
      </c>
      <c r="T9" s="41">
        <v>631.84</v>
      </c>
      <c r="U9" s="14"/>
      <c r="V9" s="232"/>
      <c r="W9" s="246"/>
      <c r="X9" s="4" t="s">
        <v>43</v>
      </c>
    </row>
    <row r="10" spans="1:26" s="7" customFormat="1">
      <c r="A10" s="32"/>
      <c r="F10" s="32"/>
      <c r="H10" s="8"/>
      <c r="I10" s="13"/>
      <c r="J10" s="13"/>
      <c r="K10" s="13"/>
      <c r="L10" s="13"/>
      <c r="M10" s="8"/>
      <c r="N10" s="13"/>
      <c r="O10" s="8"/>
      <c r="P10" s="8"/>
      <c r="Q10" s="8"/>
      <c r="R10" s="9"/>
      <c r="S10" s="48"/>
      <c r="T10" s="40"/>
      <c r="U10" s="13"/>
      <c r="V10" s="96"/>
      <c r="W10" s="13"/>
    </row>
    <row r="11" spans="1:26" ht="28.2">
      <c r="A11" s="77">
        <v>3</v>
      </c>
      <c r="B11" s="11" t="s">
        <v>23</v>
      </c>
      <c r="C11" t="s">
        <v>24</v>
      </c>
      <c r="D11" t="s">
        <v>26</v>
      </c>
      <c r="E11" s="15" t="s">
        <v>48</v>
      </c>
      <c r="F11" s="73" t="s">
        <v>252</v>
      </c>
      <c r="G11" t="s">
        <v>8</v>
      </c>
      <c r="H11" s="1">
        <v>79</v>
      </c>
      <c r="I11" s="12">
        <f t="shared" si="4"/>
        <v>84.53</v>
      </c>
      <c r="J11" s="12">
        <f t="shared" si="5"/>
        <v>85.320000000000007</v>
      </c>
      <c r="K11" s="12">
        <f t="shared" si="0"/>
        <v>0.79000000000000625</v>
      </c>
      <c r="L11" s="12">
        <v>7</v>
      </c>
      <c r="M11" s="1">
        <v>7</v>
      </c>
      <c r="N11" s="12">
        <f>M11-L11</f>
        <v>0</v>
      </c>
      <c r="O11" s="1">
        <v>0</v>
      </c>
      <c r="P11" s="1">
        <f t="shared" si="1"/>
        <v>91.53</v>
      </c>
      <c r="Q11" s="1">
        <f t="shared" ref="Q11:Q27" si="7">SUM(J11,M11,O11)</f>
        <v>92.320000000000007</v>
      </c>
      <c r="R11" s="2">
        <f t="shared" si="3"/>
        <v>586.23199999999997</v>
      </c>
      <c r="S11" s="47">
        <v>586</v>
      </c>
      <c r="T11" s="247">
        <v>307.63</v>
      </c>
      <c r="U11" s="248" t="s">
        <v>72</v>
      </c>
      <c r="V11" s="232">
        <v>19</v>
      </c>
      <c r="W11" s="248">
        <f>Q11+Q12-T11-V11</f>
        <v>5.8700000000000045</v>
      </c>
      <c r="X11" t="s">
        <v>43</v>
      </c>
    </row>
    <row r="12" spans="1:26" ht="15.6" customHeight="1">
      <c r="C12" t="s">
        <v>27</v>
      </c>
      <c r="H12" s="1">
        <v>208.5</v>
      </c>
      <c r="I12" s="12">
        <f t="shared" si="4"/>
        <v>223.095</v>
      </c>
      <c r="J12" s="12">
        <f t="shared" si="5"/>
        <v>225.18</v>
      </c>
      <c r="K12" s="12">
        <f t="shared" si="0"/>
        <v>2.085000000000008</v>
      </c>
      <c r="L12" s="12">
        <v>12</v>
      </c>
      <c r="M12" s="1">
        <v>15</v>
      </c>
      <c r="N12" s="12">
        <f>M12-L12</f>
        <v>3</v>
      </c>
      <c r="O12" s="1">
        <v>0</v>
      </c>
      <c r="P12" s="1">
        <f t="shared" si="1"/>
        <v>235.095</v>
      </c>
      <c r="Q12" s="1">
        <f t="shared" si="7"/>
        <v>240.18</v>
      </c>
      <c r="R12" s="2">
        <f t="shared" si="3"/>
        <v>1525.143</v>
      </c>
      <c r="S12" s="47">
        <v>1525</v>
      </c>
      <c r="T12" s="247"/>
      <c r="U12" s="248"/>
      <c r="V12" s="232"/>
      <c r="W12" s="248"/>
    </row>
    <row r="13" spans="1:26" s="7" customFormat="1">
      <c r="A13" s="32"/>
      <c r="F13" s="32"/>
      <c r="H13" s="8"/>
      <c r="I13" s="13"/>
      <c r="J13" s="13"/>
      <c r="K13" s="13"/>
      <c r="L13" s="13"/>
      <c r="M13" s="8"/>
      <c r="N13" s="13"/>
      <c r="O13" s="8"/>
      <c r="P13" s="8"/>
      <c r="Q13" s="8">
        <f t="shared" si="7"/>
        <v>0</v>
      </c>
      <c r="R13" s="9">
        <f t="shared" si="3"/>
        <v>0</v>
      </c>
      <c r="S13" s="48"/>
      <c r="T13" s="40"/>
      <c r="U13" s="13"/>
      <c r="V13" s="96"/>
      <c r="W13" s="13"/>
    </row>
    <row r="14" spans="1:26">
      <c r="A14" s="77">
        <v>4</v>
      </c>
      <c r="B14" t="s">
        <v>23</v>
      </c>
      <c r="C14" t="s">
        <v>32</v>
      </c>
      <c r="D14" s="30">
        <v>1019739839</v>
      </c>
      <c r="F14" s="57" t="s">
        <v>80</v>
      </c>
      <c r="H14" s="1">
        <v>178</v>
      </c>
      <c r="J14" s="12">
        <f t="shared" si="5"/>
        <v>192.24</v>
      </c>
      <c r="K14" s="12">
        <v>0</v>
      </c>
      <c r="Q14" s="1">
        <f t="shared" si="7"/>
        <v>192.24</v>
      </c>
      <c r="R14" s="2">
        <f>Q14*6.3</f>
        <v>1211.1120000000001</v>
      </c>
      <c r="S14" s="75">
        <v>1211</v>
      </c>
      <c r="T14" s="16">
        <v>109</v>
      </c>
      <c r="W14" s="12">
        <v>83.24</v>
      </c>
      <c r="X14" t="s">
        <v>33</v>
      </c>
    </row>
    <row r="15" spans="1:26" s="7" customFormat="1">
      <c r="A15" s="32"/>
      <c r="F15" s="32"/>
      <c r="H15" s="8"/>
      <c r="I15" s="13"/>
      <c r="J15" s="13"/>
      <c r="K15" s="13"/>
      <c r="L15" s="13"/>
      <c r="M15" s="8"/>
      <c r="N15" s="13"/>
      <c r="O15" s="8"/>
      <c r="P15" s="8"/>
      <c r="Q15" s="8">
        <f t="shared" si="7"/>
        <v>0</v>
      </c>
      <c r="R15" s="9">
        <f t="shared" si="3"/>
        <v>0</v>
      </c>
      <c r="S15" s="48"/>
      <c r="T15" s="40"/>
      <c r="U15" s="13"/>
      <c r="V15" s="96"/>
      <c r="W15" s="13"/>
    </row>
    <row r="16" spans="1:26" ht="28.2">
      <c r="A16" s="77">
        <v>5</v>
      </c>
      <c r="B16" s="45" t="s">
        <v>34</v>
      </c>
      <c r="C16" t="s">
        <v>35</v>
      </c>
      <c r="D16" t="s">
        <v>36</v>
      </c>
      <c r="F16" s="145" t="s">
        <v>389</v>
      </c>
      <c r="G16" t="s">
        <v>398</v>
      </c>
      <c r="H16" s="1">
        <v>134.97</v>
      </c>
      <c r="I16" s="12">
        <f t="shared" si="4"/>
        <v>144.4179</v>
      </c>
      <c r="J16" s="12">
        <f t="shared" si="5"/>
        <v>145.76760000000002</v>
      </c>
      <c r="K16" s="12">
        <f t="shared" si="0"/>
        <v>1.3497000000000128</v>
      </c>
      <c r="L16" s="12">
        <v>20</v>
      </c>
      <c r="M16" s="1">
        <v>20</v>
      </c>
      <c r="Q16" s="1">
        <f t="shared" si="7"/>
        <v>165.76760000000002</v>
      </c>
      <c r="R16" s="2">
        <f t="shared" si="3"/>
        <v>1052.62426</v>
      </c>
      <c r="S16" s="47">
        <v>1052</v>
      </c>
      <c r="T16" s="16">
        <v>94.47</v>
      </c>
      <c r="U16" s="12" t="s">
        <v>92</v>
      </c>
      <c r="V16" s="95">
        <v>20</v>
      </c>
      <c r="W16" s="12">
        <f>Q16-T16-V16</f>
        <v>51.297600000000017</v>
      </c>
      <c r="X16" t="s">
        <v>33</v>
      </c>
      <c r="Z16" t="s">
        <v>44</v>
      </c>
    </row>
    <row r="17" spans="1:24" s="7" customFormat="1">
      <c r="A17" s="32"/>
      <c r="F17" s="32"/>
      <c r="H17" s="8"/>
      <c r="I17" s="13"/>
      <c r="J17" s="13"/>
      <c r="K17" s="13"/>
      <c r="L17" s="13"/>
      <c r="M17" s="8"/>
      <c r="N17" s="13"/>
      <c r="O17" s="8"/>
      <c r="P17" s="8"/>
      <c r="Q17" s="8">
        <f t="shared" si="7"/>
        <v>0</v>
      </c>
      <c r="R17" s="9">
        <f t="shared" si="3"/>
        <v>0</v>
      </c>
      <c r="S17" s="48"/>
      <c r="T17" s="40"/>
      <c r="U17" s="13"/>
      <c r="V17" s="96"/>
      <c r="W17" s="13"/>
    </row>
    <row r="18" spans="1:24">
      <c r="A18" s="77">
        <v>6</v>
      </c>
      <c r="B18" t="s">
        <v>41</v>
      </c>
      <c r="C18" t="s">
        <v>32</v>
      </c>
      <c r="D18" s="30" t="s">
        <v>42</v>
      </c>
      <c r="F18" s="57" t="s">
        <v>80</v>
      </c>
      <c r="H18" s="1">
        <v>154</v>
      </c>
      <c r="I18" s="12">
        <v>154</v>
      </c>
      <c r="J18" s="12">
        <f t="shared" si="5"/>
        <v>166.32000000000002</v>
      </c>
      <c r="K18" s="12">
        <f t="shared" si="0"/>
        <v>12.320000000000022</v>
      </c>
      <c r="Q18" s="1">
        <f t="shared" si="7"/>
        <v>166.32000000000002</v>
      </c>
      <c r="R18" s="2">
        <f>Q18*6.3</f>
        <v>1047.816</v>
      </c>
      <c r="S18" s="75">
        <v>1045</v>
      </c>
      <c r="T18" s="16">
        <v>99.99</v>
      </c>
      <c r="W18" s="12">
        <v>66.33</v>
      </c>
      <c r="X18" t="s">
        <v>33</v>
      </c>
    </row>
    <row r="19" spans="1:24" s="7" customFormat="1">
      <c r="A19" s="32"/>
      <c r="F19" s="32"/>
      <c r="H19" s="8"/>
      <c r="I19" s="13"/>
      <c r="J19" s="13"/>
      <c r="K19" s="13"/>
      <c r="L19" s="13"/>
      <c r="M19" s="8"/>
      <c r="N19" s="13"/>
      <c r="O19" s="8"/>
      <c r="P19" s="8"/>
      <c r="Q19" s="8">
        <f t="shared" si="7"/>
        <v>0</v>
      </c>
      <c r="R19" s="9">
        <f t="shared" si="3"/>
        <v>0</v>
      </c>
      <c r="S19" s="48"/>
      <c r="T19" s="40"/>
      <c r="U19" s="13"/>
      <c r="V19" s="96"/>
      <c r="W19" s="13"/>
    </row>
    <row r="20" spans="1:24" ht="28.8" customHeight="1">
      <c r="A20" s="77">
        <v>7</v>
      </c>
      <c r="B20" s="3" t="s">
        <v>45</v>
      </c>
      <c r="C20" t="s">
        <v>46</v>
      </c>
      <c r="D20" t="s">
        <v>47</v>
      </c>
      <c r="F20" s="254" t="s">
        <v>372</v>
      </c>
      <c r="G20" s="4" t="s">
        <v>59</v>
      </c>
      <c r="H20" s="1">
        <v>198</v>
      </c>
      <c r="I20" s="12">
        <f t="shared" si="4"/>
        <v>211.86</v>
      </c>
      <c r="J20" s="12">
        <f t="shared" si="5"/>
        <v>213.84</v>
      </c>
      <c r="K20" s="12">
        <f t="shared" si="0"/>
        <v>1.9799999999999898</v>
      </c>
      <c r="M20" s="1">
        <v>12</v>
      </c>
      <c r="O20" s="1">
        <v>20.324999999999999</v>
      </c>
      <c r="P20" s="1">
        <f t="shared" ref="P20:P38" si="8">SUM(I20,L20)</f>
        <v>211.86</v>
      </c>
      <c r="Q20" s="1">
        <f t="shared" si="7"/>
        <v>246.16499999999999</v>
      </c>
      <c r="R20" s="2">
        <f t="shared" si="3"/>
        <v>1563.1477499999999</v>
      </c>
      <c r="S20" s="47">
        <v>1560</v>
      </c>
      <c r="V20" s="232">
        <v>48</v>
      </c>
      <c r="W20" s="248">
        <f>SUM(Q20,Q21,Q23,Q24)-T21-T24-V20</f>
        <v>233.08099999999996</v>
      </c>
    </row>
    <row r="21" spans="1:24">
      <c r="C21" t="s">
        <v>52</v>
      </c>
      <c r="F21" s="254"/>
      <c r="H21" s="1">
        <f>94*3</f>
        <v>282</v>
      </c>
      <c r="I21" s="12">
        <f t="shared" si="4"/>
        <v>301.74</v>
      </c>
      <c r="J21" s="12">
        <f t="shared" si="5"/>
        <v>304.56</v>
      </c>
      <c r="K21" s="12">
        <f t="shared" si="0"/>
        <v>2.8199999999999932</v>
      </c>
      <c r="M21" s="1">
        <v>20</v>
      </c>
      <c r="O21" s="1">
        <v>29.21</v>
      </c>
      <c r="P21" s="1">
        <f t="shared" si="8"/>
        <v>301.74</v>
      </c>
      <c r="Q21" s="1">
        <f t="shared" si="7"/>
        <v>353.77</v>
      </c>
      <c r="R21" s="2">
        <f t="shared" si="3"/>
        <v>2246.4395</v>
      </c>
      <c r="S21" s="47">
        <v>2246</v>
      </c>
      <c r="T21" s="16">
        <v>433.35</v>
      </c>
      <c r="U21" s="12" t="s">
        <v>58</v>
      </c>
      <c r="V21" s="232"/>
      <c r="W21" s="248"/>
      <c r="X21" t="s">
        <v>81</v>
      </c>
    </row>
    <row r="22" spans="1:24" s="7" customFormat="1">
      <c r="A22" s="32"/>
      <c r="F22" s="254"/>
      <c r="H22" s="8"/>
      <c r="I22" s="13">
        <f t="shared" si="4"/>
        <v>0</v>
      </c>
      <c r="J22" s="13">
        <f t="shared" si="5"/>
        <v>0</v>
      </c>
      <c r="K22" s="13">
        <f t="shared" si="0"/>
        <v>0</v>
      </c>
      <c r="L22" s="13"/>
      <c r="M22" s="8"/>
      <c r="N22" s="13"/>
      <c r="O22" s="8"/>
      <c r="P22" s="8">
        <f t="shared" si="8"/>
        <v>0</v>
      </c>
      <c r="Q22" s="8">
        <f t="shared" si="7"/>
        <v>0</v>
      </c>
      <c r="R22" s="9">
        <f t="shared" si="3"/>
        <v>0</v>
      </c>
      <c r="S22" s="48"/>
      <c r="T22" s="40"/>
      <c r="U22" s="13"/>
      <c r="V22" s="232"/>
      <c r="W22" s="248"/>
    </row>
    <row r="23" spans="1:24" ht="28.2">
      <c r="A23" s="77">
        <v>8</v>
      </c>
      <c r="B23" s="19" t="s">
        <v>45</v>
      </c>
      <c r="C23" s="17" t="s">
        <v>55</v>
      </c>
      <c r="D23" t="s">
        <v>53</v>
      </c>
      <c r="F23" s="254"/>
      <c r="G23" s="4" t="s">
        <v>248</v>
      </c>
      <c r="H23" s="1">
        <f>94+125+25</f>
        <v>244</v>
      </c>
      <c r="I23" s="12">
        <f t="shared" si="4"/>
        <v>261.08000000000004</v>
      </c>
      <c r="J23" s="12">
        <f t="shared" si="5"/>
        <v>263.52000000000004</v>
      </c>
      <c r="K23" s="12">
        <f t="shared" si="0"/>
        <v>2.4399999999999977</v>
      </c>
      <c r="M23" s="1">
        <v>26</v>
      </c>
      <c r="O23" s="1">
        <v>26.056000000000001</v>
      </c>
      <c r="P23" s="1">
        <f t="shared" si="8"/>
        <v>261.08000000000004</v>
      </c>
      <c r="Q23" s="1">
        <f t="shared" si="7"/>
        <v>315.57600000000002</v>
      </c>
      <c r="R23" s="2">
        <f t="shared" si="3"/>
        <v>2003.9076</v>
      </c>
      <c r="S23" s="47">
        <v>2005</v>
      </c>
      <c r="V23" s="232"/>
      <c r="W23" s="248"/>
    </row>
    <row r="24" spans="1:24">
      <c r="C24" t="s">
        <v>54</v>
      </c>
      <c r="F24" s="254"/>
      <c r="H24" s="1">
        <v>50</v>
      </c>
      <c r="I24" s="12">
        <f t="shared" si="4"/>
        <v>53.5</v>
      </c>
      <c r="J24" s="12">
        <f t="shared" si="5"/>
        <v>54</v>
      </c>
      <c r="K24" s="12">
        <f t="shared" si="0"/>
        <v>0.5</v>
      </c>
      <c r="M24" s="1">
        <v>6</v>
      </c>
      <c r="O24" s="1">
        <v>0</v>
      </c>
      <c r="P24" s="1">
        <f t="shared" si="8"/>
        <v>53.5</v>
      </c>
      <c r="Q24" s="1">
        <f t="shared" si="7"/>
        <v>60</v>
      </c>
      <c r="R24" s="2">
        <f>Q24*6.3</f>
        <v>378</v>
      </c>
      <c r="S24" s="47">
        <v>378</v>
      </c>
      <c r="T24" s="16">
        <v>261.08</v>
      </c>
      <c r="U24" s="12" t="s">
        <v>56</v>
      </c>
      <c r="V24" s="232"/>
      <c r="W24" s="248"/>
      <c r="X24" t="s">
        <v>82</v>
      </c>
    </row>
    <row r="25" spans="1:24" s="7" customFormat="1">
      <c r="A25" s="32"/>
      <c r="F25" s="32"/>
      <c r="H25" s="8"/>
      <c r="I25" s="13"/>
      <c r="J25" s="13"/>
      <c r="K25" s="13"/>
      <c r="L25" s="13"/>
      <c r="M25" s="8"/>
      <c r="N25" s="13"/>
      <c r="O25" s="8"/>
      <c r="P25" s="8">
        <f t="shared" si="8"/>
        <v>0</v>
      </c>
      <c r="Q25" s="8">
        <f t="shared" si="7"/>
        <v>0</v>
      </c>
      <c r="R25" s="9">
        <f t="shared" si="3"/>
        <v>0</v>
      </c>
      <c r="S25" s="48"/>
      <c r="T25" s="40"/>
      <c r="U25" s="13"/>
      <c r="V25" s="96"/>
      <c r="W25" s="13"/>
    </row>
    <row r="26" spans="1:24" s="20" customFormat="1" ht="43.2" customHeight="1">
      <c r="A26" s="78">
        <v>9</v>
      </c>
      <c r="B26" s="44" t="s">
        <v>61</v>
      </c>
      <c r="C26" s="20" t="s">
        <v>62</v>
      </c>
      <c r="D26" s="20" t="s">
        <v>64</v>
      </c>
      <c r="F26" s="261" t="s">
        <v>93</v>
      </c>
      <c r="G26" s="258" t="s">
        <v>373</v>
      </c>
      <c r="H26" s="21">
        <v>94</v>
      </c>
      <c r="I26" s="22">
        <f t="shared" si="4"/>
        <v>100.58000000000001</v>
      </c>
      <c r="J26" s="22">
        <f t="shared" si="5"/>
        <v>101.52000000000001</v>
      </c>
      <c r="K26" s="22">
        <f t="shared" si="0"/>
        <v>0.93999999999999773</v>
      </c>
      <c r="L26" s="22"/>
      <c r="M26" s="21">
        <v>6</v>
      </c>
      <c r="N26" s="22"/>
      <c r="O26" s="21">
        <v>10.752000000000001</v>
      </c>
      <c r="P26" s="21">
        <f t="shared" si="8"/>
        <v>100.58000000000001</v>
      </c>
      <c r="Q26" s="21">
        <f t="shared" si="7"/>
        <v>118.27200000000001</v>
      </c>
      <c r="R26" s="23">
        <f t="shared" si="3"/>
        <v>751.02719999999999</v>
      </c>
      <c r="S26" s="50">
        <v>750</v>
      </c>
      <c r="T26" s="42"/>
      <c r="U26" s="22"/>
      <c r="V26" s="260">
        <v>20</v>
      </c>
      <c r="W26" s="262">
        <f>SUM(Q26,Q27,Q29,Q31)-T31-V26-V28-V31-67</f>
        <v>95.53000000000003</v>
      </c>
    </row>
    <row r="27" spans="1:24" s="24" customFormat="1" ht="14.4" thickBot="1">
      <c r="A27" s="34"/>
      <c r="C27" s="24" t="s">
        <v>63</v>
      </c>
      <c r="F27" s="253"/>
      <c r="G27" s="259"/>
      <c r="H27" s="25">
        <v>82</v>
      </c>
      <c r="I27" s="26">
        <f t="shared" si="4"/>
        <v>87.740000000000009</v>
      </c>
      <c r="J27" s="26">
        <f t="shared" si="5"/>
        <v>88.56</v>
      </c>
      <c r="K27" s="26">
        <f t="shared" si="0"/>
        <v>0.81999999999999318</v>
      </c>
      <c r="L27" s="26"/>
      <c r="M27" s="25">
        <v>26</v>
      </c>
      <c r="N27" s="26"/>
      <c r="O27" s="25">
        <v>11.456</v>
      </c>
      <c r="P27" s="25">
        <f t="shared" si="8"/>
        <v>87.740000000000009</v>
      </c>
      <c r="Q27" s="25">
        <f t="shared" si="7"/>
        <v>126.01600000000001</v>
      </c>
      <c r="R27" s="27">
        <f t="shared" si="3"/>
        <v>800.20159999999998</v>
      </c>
      <c r="S27" s="51">
        <v>800</v>
      </c>
      <c r="T27" s="43"/>
      <c r="U27" s="26"/>
      <c r="V27" s="257"/>
      <c r="W27" s="262"/>
    </row>
    <row r="28" spans="1:24" s="4" customFormat="1">
      <c r="A28" s="33"/>
      <c r="F28" s="252" t="s">
        <v>368</v>
      </c>
      <c r="H28" s="5"/>
      <c r="I28" s="14">
        <f t="shared" si="4"/>
        <v>0</v>
      </c>
      <c r="J28" s="14">
        <f t="shared" si="5"/>
        <v>0</v>
      </c>
      <c r="K28" s="14">
        <f t="shared" si="0"/>
        <v>0</v>
      </c>
      <c r="L28" s="14"/>
      <c r="M28" s="5"/>
      <c r="N28" s="14"/>
      <c r="O28" s="5"/>
      <c r="P28" s="5"/>
      <c r="Q28" s="5"/>
      <c r="R28" s="6"/>
      <c r="S28" s="52"/>
      <c r="T28" s="41"/>
      <c r="U28" s="14"/>
      <c r="V28" s="256">
        <v>8</v>
      </c>
      <c r="W28" s="262"/>
    </row>
    <row r="29" spans="1:24" s="24" customFormat="1" ht="14.4" thickBot="1">
      <c r="A29" s="146">
        <v>10</v>
      </c>
      <c r="B29" s="45" t="s">
        <v>61</v>
      </c>
      <c r="C29" s="24" t="s">
        <v>65</v>
      </c>
      <c r="D29" s="24" t="s">
        <v>66</v>
      </c>
      <c r="F29" s="253"/>
      <c r="H29" s="25">
        <v>101</v>
      </c>
      <c r="I29" s="26">
        <f t="shared" si="4"/>
        <v>108.07000000000001</v>
      </c>
      <c r="J29" s="26">
        <f t="shared" si="5"/>
        <v>109.08000000000001</v>
      </c>
      <c r="K29" s="26">
        <f t="shared" si="0"/>
        <v>1.0100000000000051</v>
      </c>
      <c r="L29" s="26"/>
      <c r="M29" s="25">
        <v>26</v>
      </c>
      <c r="N29" s="26"/>
      <c r="O29" s="25">
        <v>16.21</v>
      </c>
      <c r="P29" s="25">
        <f t="shared" si="8"/>
        <v>108.07000000000001</v>
      </c>
      <c r="Q29" s="25">
        <f>SUM(J29,M29,O29)</f>
        <v>151.29000000000002</v>
      </c>
      <c r="R29" s="27">
        <f t="shared" si="3"/>
        <v>960.69150000000013</v>
      </c>
      <c r="S29" s="51">
        <v>960</v>
      </c>
      <c r="T29" s="43"/>
      <c r="U29" s="26"/>
      <c r="V29" s="257"/>
      <c r="W29" s="262"/>
    </row>
    <row r="30" spans="1:24" s="4" customFormat="1">
      <c r="A30" s="33"/>
      <c r="F30" s="33"/>
      <c r="H30" s="5"/>
      <c r="I30" s="14"/>
      <c r="J30" s="14"/>
      <c r="K30" s="14"/>
      <c r="L30" s="14"/>
      <c r="M30" s="5"/>
      <c r="N30" s="14"/>
      <c r="O30" s="5"/>
      <c r="P30" s="5"/>
      <c r="Q30" s="5"/>
      <c r="R30" s="6">
        <f t="shared" si="3"/>
        <v>0</v>
      </c>
      <c r="S30" s="52"/>
      <c r="T30" s="41"/>
      <c r="U30" s="14"/>
      <c r="V30" s="95"/>
      <c r="W30" s="262"/>
    </row>
    <row r="31" spans="1:24">
      <c r="A31" s="77">
        <v>11</v>
      </c>
      <c r="B31" s="54" t="s">
        <v>61</v>
      </c>
      <c r="C31" t="s">
        <v>67</v>
      </c>
      <c r="D31" t="s">
        <v>68</v>
      </c>
      <c r="F31" s="57" t="s">
        <v>144</v>
      </c>
      <c r="H31" s="1">
        <v>94</v>
      </c>
      <c r="I31" s="12">
        <f t="shared" si="4"/>
        <v>100.58000000000001</v>
      </c>
      <c r="J31" s="12">
        <f t="shared" si="5"/>
        <v>101.52000000000001</v>
      </c>
      <c r="K31" s="12">
        <f t="shared" si="0"/>
        <v>0.93999999999999773</v>
      </c>
      <c r="O31" s="1">
        <v>10.151999999999999</v>
      </c>
      <c r="P31" s="1">
        <f t="shared" si="8"/>
        <v>100.58000000000001</v>
      </c>
      <c r="Q31" s="1">
        <f t="shared" ref="Q31:Q59" si="9">SUM(J31,M31,O31)</f>
        <v>111.67200000000001</v>
      </c>
      <c r="R31" s="2">
        <f t="shared" si="3"/>
        <v>709.11720000000003</v>
      </c>
      <c r="S31" s="53">
        <v>710</v>
      </c>
      <c r="T31" s="16">
        <v>316.72000000000003</v>
      </c>
      <c r="U31" s="29" t="s">
        <v>84</v>
      </c>
      <c r="W31" s="262"/>
      <c r="X31" t="s">
        <v>83</v>
      </c>
    </row>
    <row r="32" spans="1:24" s="7" customFormat="1">
      <c r="A32" s="32"/>
      <c r="F32" s="32"/>
      <c r="H32" s="8"/>
      <c r="I32" s="13">
        <f t="shared" si="4"/>
        <v>0</v>
      </c>
      <c r="J32" s="13">
        <f t="shared" si="5"/>
        <v>0</v>
      </c>
      <c r="K32" s="13">
        <f t="shared" si="0"/>
        <v>0</v>
      </c>
      <c r="L32" s="13"/>
      <c r="M32" s="8"/>
      <c r="N32" s="13"/>
      <c r="O32" s="8"/>
      <c r="P32" s="8">
        <f t="shared" si="8"/>
        <v>0</v>
      </c>
      <c r="Q32" s="8">
        <f t="shared" si="9"/>
        <v>0</v>
      </c>
      <c r="R32" s="9">
        <f t="shared" si="3"/>
        <v>0</v>
      </c>
      <c r="S32" s="48"/>
      <c r="T32" s="40"/>
      <c r="U32" s="13"/>
      <c r="V32" s="96"/>
      <c r="W32" s="13"/>
    </row>
    <row r="33" spans="1:24">
      <c r="A33" s="77">
        <v>12</v>
      </c>
      <c r="B33" s="45" t="s">
        <v>74</v>
      </c>
      <c r="C33" t="s">
        <v>75</v>
      </c>
      <c r="F33" s="254" t="s">
        <v>381</v>
      </c>
      <c r="H33" s="1">
        <v>59.99</v>
      </c>
      <c r="I33" s="12">
        <f t="shared" si="4"/>
        <v>64.189300000000003</v>
      </c>
      <c r="J33" s="12">
        <f t="shared" si="5"/>
        <v>64.789200000000008</v>
      </c>
      <c r="K33" s="12">
        <f t="shared" si="0"/>
        <v>0.59990000000000521</v>
      </c>
      <c r="M33" s="1">
        <v>3</v>
      </c>
      <c r="O33" s="1">
        <f>J33*0.1</f>
        <v>6.4789200000000013</v>
      </c>
      <c r="P33" s="1">
        <f t="shared" si="8"/>
        <v>64.189300000000003</v>
      </c>
      <c r="Q33" s="1">
        <f t="shared" si="9"/>
        <v>74.26812000000001</v>
      </c>
      <c r="R33" s="2">
        <f t="shared" si="3"/>
        <v>471.60256200000003</v>
      </c>
      <c r="S33" s="249">
        <v>1110</v>
      </c>
      <c r="T33" s="247">
        <v>109.96</v>
      </c>
      <c r="V33" s="232">
        <v>32</v>
      </c>
      <c r="W33" s="255">
        <f>SUM(Q33:Q38)-T33-T37-V33</f>
        <v>124.25454400000001</v>
      </c>
    </row>
    <row r="34" spans="1:24">
      <c r="C34" t="s">
        <v>75</v>
      </c>
      <c r="F34" s="254"/>
      <c r="H34" s="1">
        <v>39.99</v>
      </c>
      <c r="I34" s="12">
        <f t="shared" si="4"/>
        <v>42.789300000000004</v>
      </c>
      <c r="J34" s="12">
        <f t="shared" si="5"/>
        <v>43.189200000000007</v>
      </c>
      <c r="K34" s="12">
        <f t="shared" si="0"/>
        <v>0.39990000000000236</v>
      </c>
      <c r="M34" s="1">
        <v>3</v>
      </c>
      <c r="O34" s="1">
        <f t="shared" ref="O34:O36" si="10">J34*0.1</f>
        <v>4.3189200000000012</v>
      </c>
      <c r="P34" s="1">
        <f t="shared" si="8"/>
        <v>42.789300000000004</v>
      </c>
      <c r="Q34" s="1">
        <f t="shared" si="9"/>
        <v>50.508120000000005</v>
      </c>
      <c r="R34" s="2">
        <f t="shared" si="3"/>
        <v>320.726562</v>
      </c>
      <c r="S34" s="249"/>
      <c r="T34" s="247"/>
      <c r="V34" s="232"/>
      <c r="W34" s="255"/>
    </row>
    <row r="35" spans="1:24">
      <c r="C35" t="s">
        <v>75</v>
      </c>
      <c r="F35" s="254"/>
      <c r="H35" s="1">
        <v>39.99</v>
      </c>
      <c r="I35" s="12">
        <f t="shared" si="4"/>
        <v>42.789300000000004</v>
      </c>
      <c r="J35" s="12">
        <f t="shared" si="5"/>
        <v>43.189200000000007</v>
      </c>
      <c r="K35" s="12">
        <f t="shared" si="0"/>
        <v>0.39990000000000236</v>
      </c>
      <c r="M35" s="1">
        <v>3</v>
      </c>
      <c r="O35" s="1">
        <f t="shared" si="10"/>
        <v>4.3189200000000012</v>
      </c>
      <c r="P35" s="1">
        <f t="shared" si="8"/>
        <v>42.789300000000004</v>
      </c>
      <c r="Q35" s="1">
        <f t="shared" si="9"/>
        <v>50.508120000000005</v>
      </c>
      <c r="R35" s="2">
        <f t="shared" si="3"/>
        <v>320.726562</v>
      </c>
      <c r="S35" s="249"/>
      <c r="T35" s="247"/>
      <c r="V35" s="232"/>
      <c r="W35" s="255"/>
      <c r="X35" t="s">
        <v>50</v>
      </c>
    </row>
    <row r="36" spans="1:24">
      <c r="C36" t="s">
        <v>75</v>
      </c>
      <c r="F36" s="254"/>
      <c r="H36" s="1">
        <v>39.99</v>
      </c>
      <c r="I36" s="12">
        <f t="shared" si="4"/>
        <v>42.789300000000004</v>
      </c>
      <c r="J36" s="12">
        <f t="shared" si="5"/>
        <v>43.189200000000007</v>
      </c>
      <c r="K36" s="12">
        <f t="shared" si="0"/>
        <v>0.39990000000000236</v>
      </c>
      <c r="M36" s="1">
        <v>3</v>
      </c>
      <c r="O36" s="1">
        <f t="shared" si="10"/>
        <v>4.3189200000000012</v>
      </c>
      <c r="P36" s="1">
        <f t="shared" si="8"/>
        <v>42.789300000000004</v>
      </c>
      <c r="Q36" s="1">
        <f t="shared" si="9"/>
        <v>50.508120000000005</v>
      </c>
      <c r="R36" s="2">
        <f t="shared" si="3"/>
        <v>320.726562</v>
      </c>
      <c r="S36" s="47">
        <v>320</v>
      </c>
      <c r="T36" s="247"/>
      <c r="V36" s="232"/>
      <c r="W36" s="255"/>
    </row>
    <row r="37" spans="1:24">
      <c r="C37" t="s">
        <v>76</v>
      </c>
      <c r="F37" s="254"/>
      <c r="H37" s="1">
        <f>19.99*3</f>
        <v>59.97</v>
      </c>
      <c r="I37" s="12">
        <f t="shared" si="4"/>
        <v>64.167900000000003</v>
      </c>
      <c r="J37" s="12">
        <f t="shared" si="5"/>
        <v>64.767600000000002</v>
      </c>
      <c r="K37" s="12">
        <f t="shared" si="0"/>
        <v>0.59969999999999857</v>
      </c>
      <c r="M37" s="1">
        <v>23.99</v>
      </c>
      <c r="O37" s="1">
        <f>(J37+M37)*0.14</f>
        <v>12.426064</v>
      </c>
      <c r="P37" s="1">
        <f t="shared" si="8"/>
        <v>64.167900000000003</v>
      </c>
      <c r="Q37" s="1">
        <f t="shared" si="9"/>
        <v>101.18366399999999</v>
      </c>
      <c r="R37" s="2">
        <f t="shared" si="3"/>
        <v>642.51626639999995</v>
      </c>
      <c r="S37" s="47">
        <v>640</v>
      </c>
      <c r="T37" s="247">
        <v>103.94</v>
      </c>
      <c r="V37" s="232"/>
      <c r="W37" s="255"/>
    </row>
    <row r="38" spans="1:24">
      <c r="C38" t="s">
        <v>77</v>
      </c>
      <c r="F38" s="254"/>
      <c r="H38" s="1">
        <f>19.99*2</f>
        <v>39.979999999999997</v>
      </c>
      <c r="I38" s="12">
        <f t="shared" si="4"/>
        <v>42.778599999999997</v>
      </c>
      <c r="J38" s="12">
        <f t="shared" si="5"/>
        <v>43.178399999999996</v>
      </c>
      <c r="K38" s="12">
        <f t="shared" si="0"/>
        <v>0.39979999999999905</v>
      </c>
      <c r="O38" s="1">
        <v>0</v>
      </c>
      <c r="P38" s="1">
        <f t="shared" si="8"/>
        <v>42.778599999999997</v>
      </c>
      <c r="Q38" s="1">
        <f t="shared" si="9"/>
        <v>43.178399999999996</v>
      </c>
      <c r="R38" s="2">
        <f t="shared" si="3"/>
        <v>274.18283999999994</v>
      </c>
      <c r="S38" s="47">
        <v>270</v>
      </c>
      <c r="T38" s="247"/>
      <c r="U38" s="12" t="s">
        <v>78</v>
      </c>
      <c r="V38" s="232"/>
      <c r="W38" s="255"/>
    </row>
    <row r="39" spans="1:24" s="7" customFormat="1">
      <c r="A39" s="32"/>
      <c r="F39" s="32"/>
      <c r="H39" s="8"/>
      <c r="I39" s="8"/>
      <c r="J39" s="8"/>
      <c r="K39" s="8"/>
      <c r="L39" s="13"/>
      <c r="M39" s="8"/>
      <c r="N39" s="13"/>
      <c r="O39" s="8"/>
      <c r="P39" s="8"/>
      <c r="Q39" s="8">
        <f t="shared" si="9"/>
        <v>0</v>
      </c>
      <c r="R39" s="9">
        <f t="shared" si="3"/>
        <v>0</v>
      </c>
      <c r="S39" s="48"/>
      <c r="T39" s="40"/>
      <c r="U39" s="13"/>
      <c r="V39" s="96"/>
      <c r="W39" s="13"/>
    </row>
    <row r="40" spans="1:24">
      <c r="A40" s="77">
        <v>13</v>
      </c>
      <c r="B40" t="s">
        <v>85</v>
      </c>
      <c r="C40" t="s">
        <v>86</v>
      </c>
      <c r="F40" s="251" t="s">
        <v>390</v>
      </c>
      <c r="G40" t="s">
        <v>60</v>
      </c>
      <c r="H40" s="1">
        <v>94.48</v>
      </c>
      <c r="I40" s="12">
        <v>94.48</v>
      </c>
      <c r="J40" s="12">
        <f t="shared" si="5"/>
        <v>102.03840000000001</v>
      </c>
      <c r="K40" s="12">
        <f t="shared" si="0"/>
        <v>7.558400000000006</v>
      </c>
      <c r="M40" s="1">
        <v>9.17</v>
      </c>
      <c r="Q40" s="1">
        <f t="shared" si="9"/>
        <v>111.20840000000001</v>
      </c>
      <c r="R40" s="2">
        <f>Q40*6.35</f>
        <v>706.17334000000005</v>
      </c>
      <c r="S40" s="75">
        <v>710</v>
      </c>
      <c r="T40" s="16">
        <v>94.48</v>
      </c>
      <c r="V40" s="232">
        <v>27.5</v>
      </c>
      <c r="W40" s="248">
        <f>SUM(Q40,Q41,Q42)-T40-T41-T42-V40</f>
        <v>15.365200000000009</v>
      </c>
    </row>
    <row r="41" spans="1:24">
      <c r="C41" t="s">
        <v>87</v>
      </c>
      <c r="F41" s="251"/>
      <c r="H41" s="1">
        <v>44.98</v>
      </c>
      <c r="I41" s="12">
        <v>44.98</v>
      </c>
      <c r="J41" s="12">
        <f t="shared" si="5"/>
        <v>48.578400000000002</v>
      </c>
      <c r="K41" s="12">
        <f t="shared" si="0"/>
        <v>3.5984000000000052</v>
      </c>
      <c r="M41" s="1">
        <v>9.17</v>
      </c>
      <c r="Q41" s="1">
        <f t="shared" si="9"/>
        <v>57.748400000000004</v>
      </c>
      <c r="R41" s="2">
        <f>Q41*6.35</f>
        <v>366.70233999999999</v>
      </c>
      <c r="S41" s="75">
        <v>370</v>
      </c>
      <c r="T41" s="16">
        <v>44.98</v>
      </c>
      <c r="V41" s="232"/>
      <c r="W41" s="248"/>
    </row>
    <row r="42" spans="1:24">
      <c r="C42" t="s">
        <v>88</v>
      </c>
      <c r="F42" s="251"/>
      <c r="H42" s="1">
        <v>52.48</v>
      </c>
      <c r="I42" s="12">
        <v>52.48</v>
      </c>
      <c r="J42" s="12">
        <f t="shared" si="5"/>
        <v>56.678400000000003</v>
      </c>
      <c r="K42" s="12">
        <f t="shared" si="0"/>
        <v>4.1984000000000066</v>
      </c>
      <c r="M42" s="1">
        <v>9.17</v>
      </c>
      <c r="Q42" s="1">
        <f t="shared" si="9"/>
        <v>65.848399999999998</v>
      </c>
      <c r="R42" s="2">
        <f t="shared" si="3"/>
        <v>418.13733999999994</v>
      </c>
      <c r="S42" s="75">
        <v>420</v>
      </c>
      <c r="T42" s="16">
        <v>52.48</v>
      </c>
      <c r="V42" s="232"/>
      <c r="W42" s="248"/>
    </row>
    <row r="43" spans="1:24" s="7" customFormat="1">
      <c r="A43" s="32"/>
      <c r="F43" s="32"/>
      <c r="H43" s="8"/>
      <c r="I43" s="13"/>
      <c r="J43" s="13"/>
      <c r="K43" s="13"/>
      <c r="L43" s="13"/>
      <c r="M43" s="8"/>
      <c r="N43" s="13"/>
      <c r="O43" s="8"/>
      <c r="P43" s="8"/>
      <c r="Q43" s="8">
        <f t="shared" si="9"/>
        <v>0</v>
      </c>
      <c r="R43" s="9">
        <f t="shared" si="3"/>
        <v>0</v>
      </c>
      <c r="S43" s="48"/>
      <c r="T43" s="40"/>
      <c r="U43" s="13"/>
      <c r="V43" s="96"/>
      <c r="W43" s="13"/>
    </row>
    <row r="44" spans="1:24">
      <c r="A44" s="77">
        <v>14</v>
      </c>
      <c r="B44" s="54" t="s">
        <v>89</v>
      </c>
      <c r="C44" t="s">
        <v>90</v>
      </c>
      <c r="F44" s="251" t="s">
        <v>214</v>
      </c>
      <c r="J44" s="12">
        <v>67.040000000000006</v>
      </c>
      <c r="O44" s="1">
        <v>6.7</v>
      </c>
      <c r="Q44" s="1">
        <f t="shared" si="9"/>
        <v>73.740000000000009</v>
      </c>
      <c r="R44" s="2">
        <f t="shared" si="3"/>
        <v>468.24900000000002</v>
      </c>
      <c r="S44" s="53">
        <v>470</v>
      </c>
      <c r="T44" s="16">
        <v>67.040000000000006</v>
      </c>
      <c r="V44" s="232">
        <v>60</v>
      </c>
      <c r="W44" s="12">
        <f>Q44-T44</f>
        <v>6.7000000000000028</v>
      </c>
    </row>
    <row r="45" spans="1:24">
      <c r="C45" t="s">
        <v>91</v>
      </c>
      <c r="F45" s="251"/>
      <c r="G45" t="s">
        <v>152</v>
      </c>
      <c r="H45" s="1">
        <v>121.95</v>
      </c>
      <c r="I45" s="12">
        <v>121.95</v>
      </c>
      <c r="J45" s="12">
        <f t="shared" ref="J45:J63" si="11">H45*1.08</f>
        <v>131.70600000000002</v>
      </c>
      <c r="K45" s="12">
        <f t="shared" ref="K45:K107" si="12">J45-I45</f>
        <v>9.7560000000000144</v>
      </c>
      <c r="O45" s="1">
        <v>13.17</v>
      </c>
      <c r="Q45" s="1">
        <f t="shared" si="9"/>
        <v>144.876</v>
      </c>
      <c r="R45" s="2">
        <f t="shared" si="3"/>
        <v>919.96259999999995</v>
      </c>
      <c r="S45" s="53">
        <v>920</v>
      </c>
      <c r="T45" s="16">
        <v>121.95</v>
      </c>
      <c r="V45" s="232"/>
      <c r="W45" s="12">
        <f>Q45-T45</f>
        <v>22.926000000000002</v>
      </c>
    </row>
    <row r="46" spans="1:24">
      <c r="C46" t="s">
        <v>94</v>
      </c>
      <c r="D46" t="s">
        <v>95</v>
      </c>
      <c r="F46" s="251"/>
      <c r="H46" s="1">
        <v>50</v>
      </c>
      <c r="I46" s="12">
        <f t="shared" si="4"/>
        <v>53.5</v>
      </c>
      <c r="J46" s="12">
        <f t="shared" si="11"/>
        <v>54</v>
      </c>
      <c r="K46" s="12">
        <f t="shared" si="12"/>
        <v>0.5</v>
      </c>
      <c r="O46" s="1">
        <v>5.4</v>
      </c>
      <c r="P46" s="1">
        <f t="shared" ref="P46:P62" si="13">SUM(I46,L46)</f>
        <v>53.5</v>
      </c>
      <c r="Q46" s="1">
        <f t="shared" si="9"/>
        <v>59.4</v>
      </c>
      <c r="R46" s="2">
        <f t="shared" si="3"/>
        <v>377.19</v>
      </c>
      <c r="S46" s="53">
        <v>380</v>
      </c>
      <c r="T46" s="16">
        <v>53.5</v>
      </c>
      <c r="U46" s="64" t="s">
        <v>154</v>
      </c>
      <c r="V46" s="232"/>
      <c r="W46" s="12">
        <f>Q46-T46</f>
        <v>5.8999999999999986</v>
      </c>
    </row>
    <row r="47" spans="1:24">
      <c r="C47" t="s">
        <v>96</v>
      </c>
      <c r="D47" t="s">
        <v>95</v>
      </c>
      <c r="F47" s="251"/>
      <c r="H47" s="1">
        <v>59.5</v>
      </c>
      <c r="I47" s="12">
        <f t="shared" si="4"/>
        <v>63.665000000000006</v>
      </c>
      <c r="J47" s="12">
        <f t="shared" si="11"/>
        <v>64.260000000000005</v>
      </c>
      <c r="K47" s="12">
        <f t="shared" si="12"/>
        <v>0.59499999999999886</v>
      </c>
      <c r="O47" s="1">
        <v>6.4260000000000002</v>
      </c>
      <c r="P47" s="1">
        <f t="shared" si="13"/>
        <v>63.665000000000006</v>
      </c>
      <c r="Q47" s="1">
        <f t="shared" si="9"/>
        <v>70.686000000000007</v>
      </c>
      <c r="R47" s="2">
        <f t="shared" si="3"/>
        <v>448.85610000000003</v>
      </c>
      <c r="S47" s="53">
        <v>450</v>
      </c>
      <c r="T47" s="16">
        <v>63.67</v>
      </c>
      <c r="V47" s="232"/>
      <c r="W47" s="12">
        <f>Q47-T47</f>
        <v>7.0160000000000053</v>
      </c>
    </row>
    <row r="48" spans="1:24">
      <c r="C48" t="s">
        <v>97</v>
      </c>
      <c r="F48" s="251"/>
      <c r="H48" s="1">
        <v>59.99</v>
      </c>
      <c r="I48" s="12">
        <f t="shared" si="4"/>
        <v>64.189300000000003</v>
      </c>
      <c r="J48" s="12">
        <f t="shared" si="11"/>
        <v>64.789200000000008</v>
      </c>
      <c r="K48" s="12">
        <f t="shared" si="12"/>
        <v>0.59990000000000521</v>
      </c>
      <c r="O48" s="1">
        <v>6.4790000000000001</v>
      </c>
      <c r="P48" s="1">
        <f t="shared" si="13"/>
        <v>64.189300000000003</v>
      </c>
      <c r="Q48" s="1">
        <f t="shared" si="9"/>
        <v>71.268200000000007</v>
      </c>
      <c r="R48" s="2">
        <f t="shared" si="3"/>
        <v>452.55307000000005</v>
      </c>
      <c r="S48" s="53">
        <v>455</v>
      </c>
      <c r="T48" s="16">
        <v>64.19</v>
      </c>
      <c r="V48" s="232"/>
      <c r="W48" s="12">
        <f>Q48-T48</f>
        <v>7.0782000000000096</v>
      </c>
    </row>
    <row r="49" spans="1:23" s="7" customFormat="1">
      <c r="A49" s="32"/>
      <c r="F49" s="32"/>
      <c r="H49" s="8"/>
      <c r="I49" s="13">
        <f t="shared" si="4"/>
        <v>0</v>
      </c>
      <c r="J49" s="13">
        <f t="shared" si="11"/>
        <v>0</v>
      </c>
      <c r="K49" s="13">
        <f t="shared" si="12"/>
        <v>0</v>
      </c>
      <c r="L49" s="13"/>
      <c r="M49" s="8"/>
      <c r="N49" s="13"/>
      <c r="O49" s="8"/>
      <c r="P49" s="8">
        <f t="shared" si="13"/>
        <v>0</v>
      </c>
      <c r="Q49" s="8">
        <f t="shared" si="9"/>
        <v>0</v>
      </c>
      <c r="R49" s="9">
        <f t="shared" si="3"/>
        <v>0</v>
      </c>
      <c r="S49" s="48"/>
      <c r="T49" s="40"/>
      <c r="U49" s="13"/>
      <c r="V49" s="96"/>
      <c r="W49" s="13"/>
    </row>
    <row r="50" spans="1:23" ht="43.2" customHeight="1">
      <c r="A50" s="77">
        <v>15</v>
      </c>
      <c r="B50" t="s">
        <v>104</v>
      </c>
      <c r="C50" t="s">
        <v>110</v>
      </c>
      <c r="F50" s="251" t="s">
        <v>145</v>
      </c>
      <c r="G50" s="258" t="s">
        <v>107</v>
      </c>
      <c r="H50" s="1">
        <v>66.349999999999994</v>
      </c>
      <c r="I50" s="12">
        <f t="shared" si="4"/>
        <v>70.994500000000002</v>
      </c>
      <c r="J50" s="12">
        <f t="shared" si="11"/>
        <v>71.658000000000001</v>
      </c>
      <c r="K50" s="12">
        <f t="shared" si="12"/>
        <v>0.66349999999999909</v>
      </c>
      <c r="M50" s="1">
        <v>12</v>
      </c>
      <c r="O50" s="1">
        <v>8.3658000000000001</v>
      </c>
      <c r="P50" s="1">
        <f t="shared" si="13"/>
        <v>70.994500000000002</v>
      </c>
      <c r="Q50" s="1">
        <f t="shared" si="9"/>
        <v>92.023799999999994</v>
      </c>
      <c r="R50" s="2">
        <f t="shared" si="3"/>
        <v>584.3511299999999</v>
      </c>
      <c r="S50" s="53">
        <v>585</v>
      </c>
      <c r="T50" s="16">
        <v>70.989999999999995</v>
      </c>
      <c r="U50" s="250" t="s">
        <v>220</v>
      </c>
      <c r="V50" s="232">
        <v>15</v>
      </c>
      <c r="W50" s="248">
        <f>Q50+Q51-T50-T51-V50-9</f>
        <v>17.237800000000021</v>
      </c>
    </row>
    <row r="51" spans="1:23">
      <c r="C51" t="s">
        <v>111</v>
      </c>
      <c r="F51" s="251"/>
      <c r="G51" s="258"/>
      <c r="H51" s="1">
        <v>78</v>
      </c>
      <c r="I51" s="12">
        <f t="shared" si="4"/>
        <v>83.460000000000008</v>
      </c>
      <c r="J51" s="12">
        <f t="shared" si="11"/>
        <v>84.240000000000009</v>
      </c>
      <c r="K51" s="12">
        <f t="shared" si="12"/>
        <v>0.78000000000000114</v>
      </c>
      <c r="M51" s="1">
        <v>10</v>
      </c>
      <c r="O51" s="1">
        <v>9.4239999999999995</v>
      </c>
      <c r="P51" s="1">
        <f t="shared" si="13"/>
        <v>83.460000000000008</v>
      </c>
      <c r="Q51" s="1">
        <f t="shared" si="9"/>
        <v>103.66400000000002</v>
      </c>
      <c r="R51" s="2">
        <f t="shared" si="3"/>
        <v>658.26640000000009</v>
      </c>
      <c r="S51" s="53">
        <v>660</v>
      </c>
      <c r="T51" s="16">
        <v>83.46</v>
      </c>
      <c r="U51" s="250"/>
      <c r="V51" s="232"/>
      <c r="W51" s="248"/>
    </row>
    <row r="52" spans="1:23" s="7" customFormat="1">
      <c r="A52" s="32"/>
      <c r="F52" s="32"/>
      <c r="H52" s="8"/>
      <c r="I52" s="13">
        <f t="shared" si="4"/>
        <v>0</v>
      </c>
      <c r="J52" s="13">
        <f t="shared" si="11"/>
        <v>0</v>
      </c>
      <c r="K52" s="13">
        <f t="shared" si="12"/>
        <v>0</v>
      </c>
      <c r="L52" s="13"/>
      <c r="M52" s="8"/>
      <c r="N52" s="13"/>
      <c r="O52" s="8"/>
      <c r="P52" s="8">
        <f t="shared" si="13"/>
        <v>0</v>
      </c>
      <c r="Q52" s="8">
        <f t="shared" si="9"/>
        <v>0</v>
      </c>
      <c r="R52" s="9">
        <f t="shared" si="3"/>
        <v>0</v>
      </c>
      <c r="S52" s="48"/>
      <c r="T52" s="40"/>
      <c r="U52" s="13"/>
      <c r="V52" s="96"/>
      <c r="W52" s="13"/>
    </row>
    <row r="53" spans="1:23">
      <c r="A53" s="77">
        <v>16</v>
      </c>
      <c r="B53" t="s">
        <v>112</v>
      </c>
      <c r="C53" t="s">
        <v>113</v>
      </c>
      <c r="D53" s="30">
        <v>3537405455</v>
      </c>
      <c r="F53" s="131" t="s">
        <v>271</v>
      </c>
      <c r="G53" t="s">
        <v>325</v>
      </c>
      <c r="H53" s="1">
        <v>39.979999999999997</v>
      </c>
      <c r="I53" s="12">
        <v>39.979999999999997</v>
      </c>
      <c r="J53" s="12">
        <f t="shared" si="11"/>
        <v>43.178399999999996</v>
      </c>
      <c r="K53" s="12">
        <f t="shared" si="12"/>
        <v>3.1983999999999995</v>
      </c>
      <c r="M53" s="1">
        <v>33.99</v>
      </c>
      <c r="O53" s="1">
        <v>9.26</v>
      </c>
      <c r="P53" s="1">
        <f t="shared" si="13"/>
        <v>39.979999999999997</v>
      </c>
      <c r="Q53" s="1">
        <f t="shared" si="9"/>
        <v>86.428399999999996</v>
      </c>
      <c r="R53" s="2">
        <f t="shared" si="3"/>
        <v>548.82033999999999</v>
      </c>
      <c r="S53" s="61">
        <v>550</v>
      </c>
      <c r="T53" s="247">
        <v>63.96</v>
      </c>
      <c r="V53" s="232">
        <v>18</v>
      </c>
      <c r="W53" s="248">
        <f>SUM(Q53:Q55)-T53-T55-V53</f>
        <v>43.926500000000004</v>
      </c>
    </row>
    <row r="54" spans="1:23">
      <c r="C54" t="s">
        <v>114</v>
      </c>
      <c r="D54" s="30">
        <v>3537405455</v>
      </c>
      <c r="H54" s="1">
        <v>19.989999999999998</v>
      </c>
      <c r="I54" s="12">
        <v>19.989999999999998</v>
      </c>
      <c r="J54" s="12">
        <f t="shared" si="11"/>
        <v>21.589199999999998</v>
      </c>
      <c r="K54" s="12">
        <f t="shared" si="12"/>
        <v>1.5991999999999997</v>
      </c>
      <c r="M54" s="1">
        <v>6</v>
      </c>
      <c r="O54" s="1">
        <v>2.7589000000000001</v>
      </c>
      <c r="P54" s="1">
        <f t="shared" si="13"/>
        <v>19.989999999999998</v>
      </c>
      <c r="Q54" s="1">
        <f t="shared" si="9"/>
        <v>30.348099999999999</v>
      </c>
      <c r="R54" s="2">
        <f t="shared" si="3"/>
        <v>192.71043499999999</v>
      </c>
      <c r="S54" s="61">
        <v>195</v>
      </c>
      <c r="T54" s="247"/>
      <c r="V54" s="232"/>
      <c r="W54" s="248"/>
    </row>
    <row r="55" spans="1:23">
      <c r="C55" t="s">
        <v>115</v>
      </c>
      <c r="D55" t="s">
        <v>116</v>
      </c>
      <c r="H55" s="1">
        <v>20</v>
      </c>
      <c r="I55" s="12">
        <f>H55*1.0875</f>
        <v>21.75</v>
      </c>
      <c r="J55" s="12">
        <f t="shared" si="11"/>
        <v>21.6</v>
      </c>
      <c r="K55" s="12">
        <f t="shared" si="12"/>
        <v>-0.14999999999999858</v>
      </c>
      <c r="M55" s="1">
        <v>11</v>
      </c>
      <c r="O55" s="1">
        <v>3.26</v>
      </c>
      <c r="P55" s="1">
        <f t="shared" si="13"/>
        <v>21.75</v>
      </c>
      <c r="Q55" s="1">
        <f t="shared" si="9"/>
        <v>35.86</v>
      </c>
      <c r="R55" s="2">
        <f t="shared" si="3"/>
        <v>227.71099999999998</v>
      </c>
      <c r="S55" s="53">
        <v>230</v>
      </c>
      <c r="T55" s="16">
        <v>26.75</v>
      </c>
      <c r="V55" s="232"/>
      <c r="W55" s="248"/>
    </row>
    <row r="56" spans="1:23" s="7" customFormat="1">
      <c r="A56" s="32"/>
      <c r="F56" s="32"/>
      <c r="H56" s="8"/>
      <c r="I56" s="13"/>
      <c r="J56" s="13"/>
      <c r="K56" s="13">
        <f t="shared" si="12"/>
        <v>0</v>
      </c>
      <c r="L56" s="13"/>
      <c r="M56" s="8"/>
      <c r="N56" s="13"/>
      <c r="O56" s="8"/>
      <c r="P56" s="8">
        <f t="shared" si="13"/>
        <v>0</v>
      </c>
      <c r="Q56" s="8">
        <f t="shared" si="9"/>
        <v>0</v>
      </c>
      <c r="R56" s="9">
        <f t="shared" si="3"/>
        <v>0</v>
      </c>
      <c r="S56" s="48"/>
      <c r="T56" s="40"/>
      <c r="U56" s="13"/>
      <c r="V56" s="96"/>
      <c r="W56" s="13"/>
    </row>
    <row r="57" spans="1:23">
      <c r="A57" s="77">
        <v>17</v>
      </c>
      <c r="B57" t="s">
        <v>112</v>
      </c>
      <c r="C57" t="s">
        <v>126</v>
      </c>
      <c r="D57" t="s">
        <v>95</v>
      </c>
      <c r="F57" s="251" t="s">
        <v>391</v>
      </c>
      <c r="G57" s="251" t="s">
        <v>60</v>
      </c>
      <c r="H57" s="1">
        <v>95</v>
      </c>
      <c r="I57" s="12">
        <f t="shared" si="4"/>
        <v>101.65</v>
      </c>
      <c r="J57" s="12">
        <f t="shared" si="11"/>
        <v>102.60000000000001</v>
      </c>
      <c r="K57" s="12">
        <f t="shared" si="12"/>
        <v>0.95000000000000284</v>
      </c>
      <c r="M57" s="1">
        <v>26</v>
      </c>
      <c r="O57" s="1">
        <v>12.86</v>
      </c>
      <c r="P57" s="1">
        <f t="shared" si="13"/>
        <v>101.65</v>
      </c>
      <c r="Q57" s="1">
        <f t="shared" si="9"/>
        <v>141.46000000000004</v>
      </c>
      <c r="R57" s="2">
        <f t="shared" si="3"/>
        <v>898.27100000000019</v>
      </c>
      <c r="S57" s="60">
        <v>900</v>
      </c>
      <c r="T57" s="16">
        <v>101.65</v>
      </c>
      <c r="V57" s="232">
        <v>39</v>
      </c>
      <c r="W57" s="248">
        <f>SUM(Q57:Q59)-T57-T58-T59-V57</f>
        <v>77.360000000000028</v>
      </c>
    </row>
    <row r="58" spans="1:23">
      <c r="C58" t="s">
        <v>123</v>
      </c>
      <c r="D58" t="s">
        <v>124</v>
      </c>
      <c r="F58" s="251"/>
      <c r="G58" s="251"/>
      <c r="H58" s="1">
        <v>95</v>
      </c>
      <c r="I58" s="12">
        <f t="shared" si="4"/>
        <v>101.65</v>
      </c>
      <c r="J58" s="12">
        <f t="shared" si="11"/>
        <v>102.60000000000001</v>
      </c>
      <c r="K58" s="12">
        <f t="shared" si="12"/>
        <v>0.95000000000000284</v>
      </c>
      <c r="M58" s="1">
        <v>26</v>
      </c>
      <c r="O58" s="1">
        <v>12.86</v>
      </c>
      <c r="P58" s="1">
        <f t="shared" si="13"/>
        <v>101.65</v>
      </c>
      <c r="Q58" s="1">
        <f t="shared" si="9"/>
        <v>141.46000000000004</v>
      </c>
      <c r="R58" s="2">
        <f t="shared" si="3"/>
        <v>898.27100000000019</v>
      </c>
      <c r="S58" s="60">
        <v>900</v>
      </c>
      <c r="T58" s="16">
        <v>101.65</v>
      </c>
      <c r="V58" s="232"/>
      <c r="W58" s="248"/>
    </row>
    <row r="59" spans="1:23">
      <c r="C59" t="s">
        <v>125</v>
      </c>
      <c r="D59" t="s">
        <v>124</v>
      </c>
      <c r="F59" s="251"/>
      <c r="G59" s="251"/>
      <c r="H59" s="1">
        <v>69</v>
      </c>
      <c r="I59" s="12">
        <f t="shared" si="4"/>
        <v>73.83</v>
      </c>
      <c r="J59" s="12">
        <f t="shared" si="11"/>
        <v>74.52000000000001</v>
      </c>
      <c r="K59" s="12">
        <f t="shared" si="12"/>
        <v>0.69000000000001194</v>
      </c>
      <c r="M59" s="1">
        <v>26</v>
      </c>
      <c r="O59" s="1">
        <v>10.050000000000001</v>
      </c>
      <c r="P59" s="1">
        <f t="shared" si="13"/>
        <v>73.83</v>
      </c>
      <c r="Q59" s="1">
        <f t="shared" si="9"/>
        <v>110.57000000000001</v>
      </c>
      <c r="R59" s="2">
        <f t="shared" si="3"/>
        <v>702.11950000000002</v>
      </c>
      <c r="S59" s="60">
        <v>700</v>
      </c>
      <c r="T59" s="16">
        <v>73.83</v>
      </c>
      <c r="V59" s="232"/>
      <c r="W59" s="248"/>
    </row>
    <row r="60" spans="1:23" s="7" customFormat="1">
      <c r="A60" s="32"/>
      <c r="F60" s="32"/>
      <c r="H60" s="8"/>
      <c r="I60" s="13">
        <f t="shared" si="4"/>
        <v>0</v>
      </c>
      <c r="J60" s="13">
        <f t="shared" si="11"/>
        <v>0</v>
      </c>
      <c r="K60" s="13">
        <f t="shared" si="12"/>
        <v>0</v>
      </c>
      <c r="L60" s="13"/>
      <c r="M60" s="8"/>
      <c r="N60" s="13"/>
      <c r="O60" s="8"/>
      <c r="P60" s="8"/>
      <c r="Q60" s="8"/>
      <c r="R60" s="9"/>
      <c r="S60" s="48"/>
      <c r="T60" s="40"/>
      <c r="U60" s="13"/>
      <c r="V60" s="96"/>
      <c r="W60" s="13"/>
    </row>
    <row r="61" spans="1:23">
      <c r="A61" s="77">
        <v>18</v>
      </c>
      <c r="B61" t="s">
        <v>112</v>
      </c>
      <c r="C61" t="s">
        <v>129</v>
      </c>
      <c r="D61" t="s">
        <v>124</v>
      </c>
      <c r="F61" s="251" t="s">
        <v>143</v>
      </c>
      <c r="G61" t="s">
        <v>131</v>
      </c>
      <c r="H61" s="1">
        <v>90</v>
      </c>
      <c r="I61" s="12">
        <f t="shared" si="4"/>
        <v>96.300000000000011</v>
      </c>
      <c r="J61" s="12">
        <f t="shared" si="11"/>
        <v>97.2</v>
      </c>
      <c r="K61" s="12">
        <f t="shared" si="12"/>
        <v>0.89999999999999147</v>
      </c>
      <c r="M61" s="1">
        <v>26</v>
      </c>
      <c r="O61" s="1">
        <v>12.32</v>
      </c>
      <c r="P61" s="1">
        <f t="shared" si="13"/>
        <v>96.300000000000011</v>
      </c>
      <c r="Q61" s="1">
        <f>SUM(J61,M61,O61)</f>
        <v>135.52000000000001</v>
      </c>
      <c r="R61" s="2">
        <f t="shared" si="3"/>
        <v>860.55200000000002</v>
      </c>
      <c r="S61" s="53">
        <v>860</v>
      </c>
      <c r="T61" s="16">
        <v>96.3</v>
      </c>
      <c r="V61" s="232">
        <v>20</v>
      </c>
      <c r="W61" s="248">
        <f>Q61+Q62-T61-T62-V61</f>
        <v>41.56500000000004</v>
      </c>
    </row>
    <row r="62" spans="1:23">
      <c r="C62" t="s">
        <v>130</v>
      </c>
      <c r="D62" t="s">
        <v>124</v>
      </c>
      <c r="F62" s="251"/>
      <c r="H62" s="1">
        <v>89.5</v>
      </c>
      <c r="I62" s="12">
        <f t="shared" si="4"/>
        <v>95.765000000000001</v>
      </c>
      <c r="J62" s="12">
        <f t="shared" si="11"/>
        <v>96.660000000000011</v>
      </c>
      <c r="K62" s="12">
        <f t="shared" si="12"/>
        <v>0.89500000000001023</v>
      </c>
      <c r="M62" s="1">
        <v>10</v>
      </c>
      <c r="O62" s="1">
        <v>11.45</v>
      </c>
      <c r="P62" s="1">
        <f t="shared" si="13"/>
        <v>95.765000000000001</v>
      </c>
      <c r="Q62" s="1">
        <f>SUM(J62,M62,O62)</f>
        <v>118.11000000000001</v>
      </c>
      <c r="R62" s="2">
        <f t="shared" si="3"/>
        <v>749.99850000000004</v>
      </c>
      <c r="S62" s="53">
        <v>750</v>
      </c>
      <c r="T62" s="16">
        <v>95.765000000000001</v>
      </c>
      <c r="V62" s="232"/>
      <c r="W62" s="248"/>
    </row>
    <row r="63" spans="1:23" s="7" customFormat="1">
      <c r="A63" s="32"/>
      <c r="F63" s="32"/>
      <c r="H63" s="8"/>
      <c r="I63" s="13">
        <f t="shared" si="4"/>
        <v>0</v>
      </c>
      <c r="J63" s="13">
        <f t="shared" si="11"/>
        <v>0</v>
      </c>
      <c r="K63" s="13">
        <f t="shared" si="12"/>
        <v>0</v>
      </c>
      <c r="L63" s="13"/>
      <c r="M63" s="8"/>
      <c r="N63" s="13"/>
      <c r="O63" s="8"/>
      <c r="P63" s="8"/>
      <c r="Q63" s="8"/>
      <c r="R63" s="8"/>
      <c r="S63" s="48"/>
      <c r="T63" s="40"/>
      <c r="U63" s="13"/>
      <c r="V63" s="96"/>
      <c r="W63" s="13"/>
    </row>
    <row r="64" spans="1:23">
      <c r="A64" s="77">
        <v>19</v>
      </c>
      <c r="B64" t="s">
        <v>136</v>
      </c>
      <c r="C64" t="s">
        <v>137</v>
      </c>
      <c r="D64" t="s">
        <v>138</v>
      </c>
      <c r="F64" s="57" t="s">
        <v>146</v>
      </c>
      <c r="H64" s="1">
        <v>58</v>
      </c>
      <c r="J64" s="35">
        <f>H64*1.0825</f>
        <v>62.785000000000004</v>
      </c>
      <c r="K64" s="12">
        <f t="shared" si="12"/>
        <v>62.785000000000004</v>
      </c>
      <c r="O64" s="1">
        <v>11.45</v>
      </c>
      <c r="Q64" s="1">
        <v>93</v>
      </c>
      <c r="R64" s="2">
        <f>Q64*6.3</f>
        <v>585.9</v>
      </c>
      <c r="S64" s="60">
        <v>585</v>
      </c>
      <c r="T64" s="16">
        <v>62.79</v>
      </c>
      <c r="W64" s="12">
        <f>Q64-T64</f>
        <v>30.21</v>
      </c>
    </row>
    <row r="65" spans="1:23" s="7" customFormat="1">
      <c r="A65" s="32"/>
      <c r="F65" s="32"/>
      <c r="H65" s="8"/>
      <c r="I65" s="13"/>
      <c r="J65" s="13"/>
      <c r="K65" s="13"/>
      <c r="L65" s="13"/>
      <c r="M65" s="8"/>
      <c r="N65" s="13"/>
      <c r="O65" s="8"/>
      <c r="P65" s="8"/>
      <c r="Q65" s="8"/>
      <c r="R65" s="9"/>
      <c r="S65" s="48"/>
      <c r="T65" s="40"/>
      <c r="U65" s="13"/>
      <c r="V65" s="96"/>
      <c r="W65" s="13"/>
    </row>
    <row r="66" spans="1:23">
      <c r="A66" s="77">
        <v>20</v>
      </c>
      <c r="B66" t="s">
        <v>139</v>
      </c>
      <c r="C66" t="s">
        <v>140</v>
      </c>
      <c r="D66" t="s">
        <v>142</v>
      </c>
      <c r="F66" s="57" t="s">
        <v>146</v>
      </c>
      <c r="H66" s="1">
        <v>72.790000000000006</v>
      </c>
      <c r="I66" s="12">
        <v>78.61</v>
      </c>
      <c r="J66" s="12">
        <v>79.05</v>
      </c>
      <c r="K66" s="59">
        <f t="shared" si="12"/>
        <v>0.43999999999999773</v>
      </c>
      <c r="O66" s="1">
        <v>14.89</v>
      </c>
      <c r="Q66" s="1">
        <v>93.5</v>
      </c>
      <c r="R66" s="2">
        <f>Q66*6.35</f>
        <v>593.72500000000002</v>
      </c>
      <c r="S66" s="75">
        <v>595</v>
      </c>
      <c r="T66" s="16">
        <v>78.61</v>
      </c>
      <c r="W66" s="12">
        <f>Q66-T66</f>
        <v>14.89</v>
      </c>
    </row>
    <row r="67" spans="1:23" s="7" customFormat="1">
      <c r="A67" s="32"/>
      <c r="F67" s="32"/>
      <c r="H67" s="8"/>
      <c r="I67" s="13"/>
      <c r="J67" s="13"/>
      <c r="K67" s="13"/>
      <c r="L67" s="13"/>
      <c r="M67" s="8"/>
      <c r="N67" s="13"/>
      <c r="O67" s="8"/>
      <c r="P67" s="8"/>
      <c r="Q67" s="8"/>
      <c r="R67" s="9"/>
      <c r="S67" s="48"/>
      <c r="T67" s="40"/>
      <c r="U67" s="13"/>
      <c r="V67" s="96"/>
      <c r="W67" s="13"/>
    </row>
    <row r="68" spans="1:23">
      <c r="A68" s="77">
        <v>21</v>
      </c>
      <c r="B68" t="s">
        <v>139</v>
      </c>
      <c r="C68" t="s">
        <v>141</v>
      </c>
      <c r="D68" s="30" t="s">
        <v>155</v>
      </c>
      <c r="F68" s="57" t="s">
        <v>146</v>
      </c>
      <c r="H68" s="1">
        <v>29.99</v>
      </c>
      <c r="I68" s="12">
        <v>32.31</v>
      </c>
      <c r="J68" s="12">
        <v>32.389000000000003</v>
      </c>
      <c r="K68" s="59">
        <f t="shared" si="12"/>
        <v>7.9000000000000625E-2</v>
      </c>
      <c r="M68" s="1">
        <v>8</v>
      </c>
      <c r="O68" s="1">
        <v>9.859</v>
      </c>
      <c r="Q68" s="1">
        <v>45.67</v>
      </c>
      <c r="R68" s="63">
        <f>Q68*6.35</f>
        <v>290.00450000000001</v>
      </c>
      <c r="S68" s="75">
        <v>290</v>
      </c>
      <c r="T68" s="16">
        <v>35.81</v>
      </c>
      <c r="W68" s="12">
        <f>Q68-T68</f>
        <v>9.86</v>
      </c>
    </row>
    <row r="69" spans="1:23" s="7" customFormat="1">
      <c r="A69" s="32"/>
      <c r="F69" s="32"/>
      <c r="H69" s="8"/>
      <c r="I69" s="13"/>
      <c r="J69" s="13"/>
      <c r="K69" s="13"/>
      <c r="L69" s="13"/>
      <c r="M69" s="8"/>
      <c r="N69" s="13"/>
      <c r="O69" s="8"/>
      <c r="P69" s="8"/>
      <c r="Q69" s="8"/>
      <c r="R69" s="9"/>
      <c r="S69" s="48"/>
      <c r="T69" s="40"/>
      <c r="U69" s="13"/>
      <c r="V69" s="96"/>
      <c r="W69" s="13"/>
    </row>
    <row r="70" spans="1:23">
      <c r="A70" s="77">
        <v>22</v>
      </c>
      <c r="B70" t="s">
        <v>147</v>
      </c>
      <c r="C70" t="s">
        <v>150</v>
      </c>
      <c r="D70" t="s">
        <v>151</v>
      </c>
      <c r="F70" s="71" t="s">
        <v>197</v>
      </c>
      <c r="G70" t="s">
        <v>152</v>
      </c>
      <c r="H70" s="1">
        <v>249</v>
      </c>
      <c r="I70" s="64">
        <f t="shared" ref="I70:I137" si="14">H70*1.07</f>
        <v>266.43</v>
      </c>
      <c r="J70" s="64">
        <f t="shared" ref="J70:J135" si="15">H70*1.08</f>
        <v>268.92</v>
      </c>
      <c r="K70" s="64">
        <f t="shared" si="12"/>
        <v>2.4900000000000091</v>
      </c>
      <c r="O70" s="1">
        <v>26.89</v>
      </c>
      <c r="Q70" s="1">
        <f>SUM(J70,M70,O70)</f>
        <v>295.81</v>
      </c>
      <c r="R70" s="23">
        <f t="shared" ref="R70:R135" si="16">Q70*6.35</f>
        <v>1878.3934999999999</v>
      </c>
      <c r="S70" s="66">
        <v>1880</v>
      </c>
      <c r="T70" s="16">
        <v>266.43</v>
      </c>
      <c r="V70" s="232">
        <v>63</v>
      </c>
      <c r="W70" s="248">
        <f>SUM(Q70,Q71,Q72)-T70-T71-T72</f>
        <v>111.50100000000012</v>
      </c>
    </row>
    <row r="71" spans="1:23">
      <c r="C71" t="s">
        <v>148</v>
      </c>
      <c r="H71" s="1">
        <v>279</v>
      </c>
      <c r="I71" s="64">
        <f t="shared" si="14"/>
        <v>298.53000000000003</v>
      </c>
      <c r="J71" s="64">
        <f t="shared" si="15"/>
        <v>301.32</v>
      </c>
      <c r="K71" s="64">
        <f t="shared" si="12"/>
        <v>2.7899999999999636</v>
      </c>
      <c r="O71" s="1">
        <v>45.576000000000001</v>
      </c>
      <c r="Q71" s="1">
        <f>SUM(J71,M71,O71)</f>
        <v>346.89600000000002</v>
      </c>
      <c r="R71" s="23">
        <f t="shared" si="16"/>
        <v>2202.7896000000001</v>
      </c>
      <c r="S71" s="66">
        <v>2200</v>
      </c>
      <c r="T71" s="16">
        <v>298.52999999999997</v>
      </c>
      <c r="U71" s="70" t="s">
        <v>219</v>
      </c>
      <c r="V71" s="232"/>
      <c r="W71" s="248"/>
    </row>
    <row r="72" spans="1:23">
      <c r="C72" t="s">
        <v>149</v>
      </c>
      <c r="H72" s="1">
        <v>149.5</v>
      </c>
      <c r="I72" s="64">
        <f t="shared" si="14"/>
        <v>159.965</v>
      </c>
      <c r="J72" s="64">
        <f t="shared" si="15"/>
        <v>161.46</v>
      </c>
      <c r="K72" s="64">
        <f t="shared" si="12"/>
        <v>1.4950000000000045</v>
      </c>
      <c r="O72" s="1">
        <v>32.26</v>
      </c>
      <c r="Q72" s="1">
        <f>SUM(J72,M72,O72)</f>
        <v>193.72</v>
      </c>
      <c r="R72" s="23">
        <f t="shared" si="16"/>
        <v>1230.1219999999998</v>
      </c>
      <c r="S72" s="66">
        <v>1230</v>
      </c>
      <c r="T72" s="16">
        <v>159.965</v>
      </c>
      <c r="V72" s="232"/>
      <c r="W72" s="248"/>
    </row>
    <row r="73" spans="1:23" s="7" customFormat="1">
      <c r="A73" s="32"/>
      <c r="F73" s="32"/>
      <c r="H73" s="8"/>
      <c r="I73" s="13"/>
      <c r="J73" s="13"/>
      <c r="K73" s="13"/>
      <c r="L73" s="13"/>
      <c r="M73" s="8"/>
      <c r="N73" s="13"/>
      <c r="O73" s="8"/>
      <c r="P73" s="8"/>
      <c r="Q73" s="8"/>
      <c r="R73" s="68"/>
      <c r="S73" s="48"/>
      <c r="T73" s="40"/>
      <c r="U73" s="13"/>
      <c r="V73" s="96"/>
      <c r="W73" s="13"/>
    </row>
    <row r="74" spans="1:23">
      <c r="A74" s="77">
        <v>23</v>
      </c>
      <c r="B74" t="s">
        <v>156</v>
      </c>
      <c r="C74" t="s">
        <v>157</v>
      </c>
      <c r="H74" s="1">
        <f>84*0.85</f>
        <v>71.399999999999991</v>
      </c>
      <c r="I74" s="64">
        <f t="shared" si="14"/>
        <v>76.397999999999996</v>
      </c>
      <c r="J74" s="64">
        <f t="shared" si="15"/>
        <v>77.111999999999995</v>
      </c>
      <c r="K74" s="64">
        <f t="shared" si="12"/>
        <v>0.71399999999999864</v>
      </c>
      <c r="M74" s="69">
        <v>8.125</v>
      </c>
      <c r="O74" s="69">
        <v>8.5239999999999991</v>
      </c>
      <c r="Q74" s="1">
        <f t="shared" ref="Q74:Q139" si="17">SUM(J74,M74,O74)</f>
        <v>93.760999999999996</v>
      </c>
      <c r="R74" s="23">
        <f t="shared" si="16"/>
        <v>595.38234999999997</v>
      </c>
      <c r="S74" s="263">
        <v>2050</v>
      </c>
      <c r="T74" s="247">
        <v>258.3</v>
      </c>
      <c r="U74" s="250" t="s">
        <v>205</v>
      </c>
      <c r="V74" s="232">
        <v>36</v>
      </c>
      <c r="W74" s="248">
        <f>SUM(Q74:Q77)-T74-V74-14</f>
        <v>14.225999999999942</v>
      </c>
    </row>
    <row r="75" spans="1:23">
      <c r="C75" t="s">
        <v>158</v>
      </c>
      <c r="D75" t="s">
        <v>161</v>
      </c>
      <c r="F75" s="71" t="s">
        <v>213</v>
      </c>
      <c r="G75" s="31" t="s">
        <v>153</v>
      </c>
      <c r="H75" s="1">
        <f>86*0.85</f>
        <v>73.099999999999994</v>
      </c>
      <c r="I75" s="64">
        <f t="shared" si="14"/>
        <v>78.216999999999999</v>
      </c>
      <c r="J75" s="64">
        <f t="shared" si="15"/>
        <v>78.947999999999993</v>
      </c>
      <c r="K75" s="64">
        <f t="shared" si="12"/>
        <v>0.73099999999999454</v>
      </c>
      <c r="M75" s="69">
        <v>8.125</v>
      </c>
      <c r="O75" s="69">
        <v>8.6999999999999993</v>
      </c>
      <c r="Q75" s="1">
        <f t="shared" si="17"/>
        <v>95.772999999999996</v>
      </c>
      <c r="R75" s="23">
        <f t="shared" si="16"/>
        <v>608.15854999999999</v>
      </c>
      <c r="S75" s="263"/>
      <c r="T75" s="247"/>
      <c r="U75" s="250"/>
      <c r="V75" s="232"/>
      <c r="W75" s="248"/>
    </row>
    <row r="76" spans="1:23">
      <c r="C76" t="s">
        <v>159</v>
      </c>
      <c r="H76" s="1">
        <f>57*0.85</f>
        <v>48.449999999999996</v>
      </c>
      <c r="I76" s="64">
        <f t="shared" si="14"/>
        <v>51.841499999999996</v>
      </c>
      <c r="J76" s="64">
        <f t="shared" si="15"/>
        <v>52.326000000000001</v>
      </c>
      <c r="K76" s="64">
        <f t="shared" si="12"/>
        <v>0.48450000000000415</v>
      </c>
      <c r="M76" s="69">
        <v>8.125</v>
      </c>
      <c r="O76" s="69">
        <v>6.0449999999999999</v>
      </c>
      <c r="Q76" s="1">
        <f t="shared" si="17"/>
        <v>66.495999999999995</v>
      </c>
      <c r="R76" s="23">
        <f t="shared" si="16"/>
        <v>422.24959999999993</v>
      </c>
      <c r="S76" s="263"/>
      <c r="T76" s="247"/>
      <c r="U76" s="250"/>
      <c r="V76" s="232"/>
      <c r="W76" s="248"/>
    </row>
    <row r="77" spans="1:23">
      <c r="C77" t="s">
        <v>160</v>
      </c>
      <c r="H77" s="1">
        <f>57*0.85</f>
        <v>48.449999999999996</v>
      </c>
      <c r="I77" s="64">
        <f t="shared" si="14"/>
        <v>51.841499999999996</v>
      </c>
      <c r="J77" s="64">
        <f t="shared" si="15"/>
        <v>52.326000000000001</v>
      </c>
      <c r="K77" s="64">
        <f t="shared" si="12"/>
        <v>0.48450000000000415</v>
      </c>
      <c r="M77" s="69">
        <v>8.125</v>
      </c>
      <c r="O77" s="69">
        <v>6.0449999999999999</v>
      </c>
      <c r="Q77" s="1">
        <f t="shared" si="17"/>
        <v>66.495999999999995</v>
      </c>
      <c r="R77" s="23">
        <f t="shared" si="16"/>
        <v>422.24959999999993</v>
      </c>
      <c r="S77" s="263"/>
      <c r="T77" s="247"/>
      <c r="U77" s="250"/>
      <c r="V77" s="232"/>
      <c r="W77" s="248"/>
    </row>
    <row r="78" spans="1:23" s="7" customFormat="1">
      <c r="A78" s="32"/>
      <c r="F78" s="32"/>
      <c r="H78" s="8"/>
      <c r="I78" s="13">
        <f t="shared" si="14"/>
        <v>0</v>
      </c>
      <c r="J78" s="13">
        <f t="shared" si="15"/>
        <v>0</v>
      </c>
      <c r="K78" s="13">
        <f t="shared" si="12"/>
        <v>0</v>
      </c>
      <c r="L78" s="13"/>
      <c r="M78" s="8"/>
      <c r="N78" s="13"/>
      <c r="O78" s="8"/>
      <c r="P78" s="8"/>
      <c r="Q78" s="8">
        <f t="shared" si="17"/>
        <v>0</v>
      </c>
      <c r="R78" s="68">
        <f t="shared" si="16"/>
        <v>0</v>
      </c>
      <c r="S78" s="48"/>
      <c r="T78" s="40"/>
      <c r="U78" s="13"/>
      <c r="V78" s="96"/>
      <c r="W78" s="13"/>
    </row>
    <row r="79" spans="1:23">
      <c r="A79" s="77">
        <v>24</v>
      </c>
      <c r="B79" t="s">
        <v>163</v>
      </c>
      <c r="C79" t="s">
        <v>165</v>
      </c>
      <c r="D79" t="s">
        <v>203</v>
      </c>
      <c r="F79" s="67" t="s">
        <v>164</v>
      </c>
      <c r="H79" s="1">
        <v>26.5</v>
      </c>
      <c r="I79" s="64"/>
      <c r="J79" s="64">
        <f t="shared" si="15"/>
        <v>28.62</v>
      </c>
      <c r="K79" s="64"/>
      <c r="O79" s="1">
        <v>9.1579999999999995</v>
      </c>
      <c r="Q79" s="1">
        <f t="shared" si="17"/>
        <v>37.777999999999999</v>
      </c>
      <c r="R79" s="23">
        <f t="shared" si="16"/>
        <v>239.89029999999997</v>
      </c>
      <c r="S79" s="75">
        <v>240</v>
      </c>
      <c r="T79" s="16">
        <v>28.62</v>
      </c>
      <c r="W79" s="12">
        <f>Q79-T79</f>
        <v>9.1579999999999977</v>
      </c>
    </row>
    <row r="80" spans="1:23" s="7" customFormat="1">
      <c r="A80" s="32"/>
      <c r="F80" s="32"/>
      <c r="H80" s="8"/>
      <c r="I80" s="13">
        <f t="shared" si="14"/>
        <v>0</v>
      </c>
      <c r="J80" s="13">
        <f t="shared" si="15"/>
        <v>0</v>
      </c>
      <c r="K80" s="13">
        <f t="shared" si="12"/>
        <v>0</v>
      </c>
      <c r="L80" s="13"/>
      <c r="M80" s="8"/>
      <c r="N80" s="13"/>
      <c r="O80" s="8"/>
      <c r="P80" s="8"/>
      <c r="Q80" s="8">
        <f t="shared" si="17"/>
        <v>0</v>
      </c>
      <c r="R80" s="68">
        <f t="shared" si="16"/>
        <v>0</v>
      </c>
      <c r="S80" s="48"/>
      <c r="T80" s="40"/>
      <c r="U80" s="13"/>
      <c r="V80" s="96"/>
      <c r="W80" s="13"/>
    </row>
    <row r="81" spans="1:23">
      <c r="A81" s="77">
        <v>25</v>
      </c>
      <c r="B81" t="s">
        <v>166</v>
      </c>
      <c r="C81" t="s">
        <v>167</v>
      </c>
      <c r="D81" s="30" t="s">
        <v>173</v>
      </c>
      <c r="F81" s="71" t="s">
        <v>211</v>
      </c>
      <c r="G81" t="s">
        <v>199</v>
      </c>
      <c r="H81" s="1">
        <v>108</v>
      </c>
      <c r="I81" s="64">
        <f t="shared" si="14"/>
        <v>115.56</v>
      </c>
      <c r="J81" s="64">
        <f t="shared" si="15"/>
        <v>116.64000000000001</v>
      </c>
      <c r="K81" s="64">
        <f t="shared" si="12"/>
        <v>1.0800000000000125</v>
      </c>
      <c r="M81" s="1">
        <v>20</v>
      </c>
      <c r="O81" s="1">
        <v>13.664</v>
      </c>
      <c r="Q81" s="1">
        <f t="shared" si="17"/>
        <v>150.304</v>
      </c>
      <c r="R81" s="23">
        <f t="shared" si="16"/>
        <v>954.43039999999996</v>
      </c>
      <c r="S81" s="75">
        <v>955</v>
      </c>
      <c r="T81" s="16">
        <v>98</v>
      </c>
      <c r="U81" s="65" t="s">
        <v>168</v>
      </c>
      <c r="V81" s="95">
        <v>14</v>
      </c>
      <c r="W81" s="12">
        <f>Q81-T81-V81</f>
        <v>38.304000000000002</v>
      </c>
    </row>
    <row r="82" spans="1:23" s="7" customFormat="1">
      <c r="A82" s="32"/>
      <c r="F82" s="32"/>
      <c r="H82" s="8"/>
      <c r="I82" s="13">
        <f t="shared" si="14"/>
        <v>0</v>
      </c>
      <c r="J82" s="13">
        <f t="shared" si="15"/>
        <v>0</v>
      </c>
      <c r="K82" s="13">
        <f t="shared" si="12"/>
        <v>0</v>
      </c>
      <c r="L82" s="13"/>
      <c r="M82" s="8"/>
      <c r="N82" s="13"/>
      <c r="O82" s="8"/>
      <c r="P82" s="8"/>
      <c r="Q82" s="8">
        <f t="shared" si="17"/>
        <v>0</v>
      </c>
      <c r="R82" s="68">
        <f t="shared" si="16"/>
        <v>0</v>
      </c>
      <c r="S82" s="48"/>
      <c r="T82" s="40"/>
      <c r="U82" s="13"/>
      <c r="V82" s="96"/>
      <c r="W82" s="13"/>
    </row>
    <row r="83" spans="1:23">
      <c r="A83" s="77">
        <v>26</v>
      </c>
      <c r="B83" t="s">
        <v>174</v>
      </c>
      <c r="C83" t="s">
        <v>176</v>
      </c>
      <c r="D83" t="s">
        <v>175</v>
      </c>
      <c r="F83" s="91" t="s">
        <v>272</v>
      </c>
      <c r="G83" t="s">
        <v>200</v>
      </c>
      <c r="H83" s="1">
        <v>14.99</v>
      </c>
      <c r="I83" s="64">
        <f t="shared" si="14"/>
        <v>16.039300000000001</v>
      </c>
      <c r="J83" s="64">
        <f t="shared" si="15"/>
        <v>16.1892</v>
      </c>
      <c r="K83" s="64">
        <f t="shared" si="12"/>
        <v>0.14989999999999881</v>
      </c>
      <c r="M83" s="1">
        <v>6</v>
      </c>
      <c r="O83" s="1">
        <v>2.2189000000000001</v>
      </c>
      <c r="Q83" s="1">
        <f t="shared" si="17"/>
        <v>24.408100000000001</v>
      </c>
      <c r="R83" s="23">
        <f t="shared" si="16"/>
        <v>154.991435</v>
      </c>
      <c r="S83" s="66">
        <v>155</v>
      </c>
      <c r="T83" s="247">
        <v>66.47</v>
      </c>
      <c r="U83" s="70" t="s">
        <v>212</v>
      </c>
      <c r="V83" s="232">
        <f>24+27.5</f>
        <v>51.5</v>
      </c>
      <c r="W83" s="248">
        <f>SUM(Q83:Q89)-T83-T86-T87-V83-45</f>
        <v>73.041499999999985</v>
      </c>
    </row>
    <row r="84" spans="1:23">
      <c r="C84" t="s">
        <v>177</v>
      </c>
      <c r="F84" s="91" t="s">
        <v>281</v>
      </c>
      <c r="H84" s="1">
        <v>22</v>
      </c>
      <c r="I84" s="64">
        <f t="shared" si="14"/>
        <v>23.540000000000003</v>
      </c>
      <c r="J84" s="64">
        <f t="shared" si="15"/>
        <v>23.76</v>
      </c>
      <c r="K84" s="64">
        <f t="shared" si="12"/>
        <v>0.21999999999999886</v>
      </c>
      <c r="M84" s="1">
        <v>4</v>
      </c>
      <c r="O84" s="1">
        <v>2.1</v>
      </c>
      <c r="Q84" s="1">
        <f t="shared" si="17"/>
        <v>29.860000000000003</v>
      </c>
      <c r="R84" s="23">
        <f t="shared" si="16"/>
        <v>189.61100000000002</v>
      </c>
      <c r="S84" s="66">
        <v>190</v>
      </c>
      <c r="T84" s="247"/>
      <c r="V84" s="232"/>
      <c r="W84" s="248"/>
    </row>
    <row r="85" spans="1:23">
      <c r="C85" t="s">
        <v>178</v>
      </c>
      <c r="H85" s="1">
        <v>45.26</v>
      </c>
      <c r="I85" s="64">
        <f t="shared" si="14"/>
        <v>48.428200000000004</v>
      </c>
      <c r="J85" s="64">
        <f t="shared" si="15"/>
        <v>48.880800000000001</v>
      </c>
      <c r="K85" s="64">
        <f t="shared" si="12"/>
        <v>0.45259999999999678</v>
      </c>
      <c r="M85" s="1">
        <v>20</v>
      </c>
      <c r="O85" s="1">
        <v>25.484999999999999</v>
      </c>
      <c r="Q85" s="1">
        <f t="shared" si="17"/>
        <v>94.365799999999993</v>
      </c>
      <c r="R85" s="23">
        <f t="shared" si="16"/>
        <v>599.22282999999993</v>
      </c>
      <c r="S85" s="66">
        <v>600</v>
      </c>
      <c r="T85" s="247"/>
      <c r="U85" s="29" t="s">
        <v>218</v>
      </c>
      <c r="V85" s="232"/>
      <c r="W85" s="248"/>
    </row>
    <row r="86" spans="1:23">
      <c r="C86" t="s">
        <v>179</v>
      </c>
      <c r="H86" s="1">
        <v>49.95</v>
      </c>
      <c r="I86" s="12">
        <f t="shared" si="14"/>
        <v>53.446500000000007</v>
      </c>
      <c r="J86" s="12">
        <f t="shared" si="15"/>
        <v>53.946000000000005</v>
      </c>
      <c r="K86" s="12">
        <f t="shared" si="12"/>
        <v>0.49949999999999761</v>
      </c>
      <c r="M86" s="1">
        <v>12</v>
      </c>
      <c r="O86" s="1">
        <v>6.59</v>
      </c>
      <c r="Q86" s="1">
        <f t="shared" si="17"/>
        <v>72.536000000000001</v>
      </c>
      <c r="R86" s="23">
        <f t="shared" si="16"/>
        <v>460.60359999999997</v>
      </c>
      <c r="S86" s="66">
        <v>460</v>
      </c>
      <c r="T86" s="16">
        <v>54.9</v>
      </c>
      <c r="V86" s="232"/>
      <c r="W86" s="248"/>
    </row>
    <row r="87" spans="1:23">
      <c r="C87" t="s">
        <v>187</v>
      </c>
      <c r="H87" s="1">
        <v>39.32</v>
      </c>
      <c r="I87" s="12">
        <f t="shared" si="14"/>
        <v>42.072400000000002</v>
      </c>
      <c r="J87" s="12">
        <f t="shared" si="15"/>
        <v>42.465600000000002</v>
      </c>
      <c r="K87" s="12">
        <f t="shared" si="12"/>
        <v>0.39320000000000022</v>
      </c>
      <c r="M87" s="1">
        <v>20</v>
      </c>
      <c r="O87" s="1">
        <v>9.9700000000000006</v>
      </c>
      <c r="Q87" s="1">
        <f t="shared" si="17"/>
        <v>72.435600000000008</v>
      </c>
      <c r="R87" s="23">
        <f t="shared" si="16"/>
        <v>459.96606000000003</v>
      </c>
      <c r="S87" s="75">
        <v>460</v>
      </c>
      <c r="T87" s="247">
        <v>80.64</v>
      </c>
      <c r="V87" s="232"/>
      <c r="W87" s="248"/>
    </row>
    <row r="88" spans="1:23">
      <c r="C88" t="s">
        <v>188</v>
      </c>
      <c r="H88" s="1">
        <v>21.58</v>
      </c>
      <c r="I88" s="12">
        <f t="shared" si="14"/>
        <v>23.090599999999998</v>
      </c>
      <c r="J88" s="12">
        <f t="shared" si="15"/>
        <v>23.3064</v>
      </c>
      <c r="K88" s="12">
        <f t="shared" si="12"/>
        <v>0.21580000000000155</v>
      </c>
      <c r="M88" s="1">
        <v>12</v>
      </c>
      <c r="O88" s="1">
        <v>11.933999999999999</v>
      </c>
      <c r="Q88" s="1">
        <f t="shared" si="17"/>
        <v>47.240399999999994</v>
      </c>
      <c r="R88" s="23">
        <f t="shared" si="16"/>
        <v>299.97653999999994</v>
      </c>
      <c r="S88" s="75">
        <v>300</v>
      </c>
      <c r="T88" s="247"/>
      <c r="V88" s="232"/>
      <c r="W88" s="248"/>
    </row>
    <row r="89" spans="1:23">
      <c r="C89" t="s">
        <v>189</v>
      </c>
      <c r="H89" s="1">
        <v>14.47</v>
      </c>
      <c r="I89" s="12">
        <f t="shared" si="14"/>
        <v>15.482900000000001</v>
      </c>
      <c r="J89" s="12">
        <f t="shared" si="15"/>
        <v>15.627600000000001</v>
      </c>
      <c r="K89" s="12">
        <f t="shared" si="12"/>
        <v>0.14470000000000027</v>
      </c>
      <c r="M89" s="1">
        <v>6</v>
      </c>
      <c r="O89" s="1">
        <v>9.0779999999999994</v>
      </c>
      <c r="Q89" s="1">
        <f t="shared" si="17"/>
        <v>30.7056</v>
      </c>
      <c r="R89" s="23">
        <f t="shared" si="16"/>
        <v>194.98056</v>
      </c>
      <c r="S89" s="75">
        <v>195</v>
      </c>
      <c r="T89" s="247"/>
      <c r="V89" s="232"/>
      <c r="W89" s="248"/>
    </row>
    <row r="90" spans="1:23" s="7" customFormat="1">
      <c r="A90" s="32"/>
      <c r="F90" s="32"/>
      <c r="H90" s="8"/>
      <c r="I90" s="13"/>
      <c r="J90" s="13"/>
      <c r="K90" s="13"/>
      <c r="L90" s="13"/>
      <c r="M90" s="8"/>
      <c r="N90" s="13"/>
      <c r="O90" s="8"/>
      <c r="P90" s="8"/>
      <c r="Q90" s="8"/>
      <c r="R90" s="68"/>
      <c r="S90" s="48"/>
      <c r="T90" s="40"/>
      <c r="U90" s="13"/>
      <c r="V90" s="96"/>
      <c r="W90" s="13"/>
    </row>
    <row r="91" spans="1:23">
      <c r="A91" s="77">
        <v>27</v>
      </c>
      <c r="B91" t="s">
        <v>190</v>
      </c>
      <c r="C91" t="s">
        <v>191</v>
      </c>
      <c r="D91" t="s">
        <v>192</v>
      </c>
      <c r="F91" s="128" t="s">
        <v>349</v>
      </c>
      <c r="G91" t="s">
        <v>60</v>
      </c>
      <c r="H91" s="1">
        <v>173.92</v>
      </c>
      <c r="I91" s="70">
        <f t="shared" si="14"/>
        <v>186.09440000000001</v>
      </c>
      <c r="J91" s="70">
        <f t="shared" si="15"/>
        <v>187.83359999999999</v>
      </c>
      <c r="K91" s="70">
        <f t="shared" si="12"/>
        <v>1.7391999999999825</v>
      </c>
      <c r="M91" s="1">
        <f>3.99+8</f>
        <v>11.99</v>
      </c>
      <c r="Q91" s="1">
        <f t="shared" si="17"/>
        <v>199.8236</v>
      </c>
      <c r="R91" s="23">
        <f t="shared" si="16"/>
        <v>1268.87986</v>
      </c>
      <c r="S91" s="129">
        <v>1270</v>
      </c>
      <c r="T91" s="16">
        <v>156.52000000000001</v>
      </c>
      <c r="V91" s="232">
        <v>20</v>
      </c>
      <c r="W91" s="248">
        <f>SUM(Q91:Q92)-T91-T92-V91</f>
        <v>83.223600000000005</v>
      </c>
    </row>
    <row r="92" spans="1:23">
      <c r="C92" t="s">
        <v>193</v>
      </c>
      <c r="D92" t="s">
        <v>185</v>
      </c>
      <c r="H92" s="1">
        <v>84</v>
      </c>
      <c r="I92" s="70">
        <f t="shared" si="14"/>
        <v>89.88000000000001</v>
      </c>
      <c r="J92" s="70">
        <f t="shared" si="15"/>
        <v>90.72</v>
      </c>
      <c r="K92" s="70">
        <f t="shared" si="12"/>
        <v>0.8399999999999892</v>
      </c>
      <c r="M92" s="1">
        <v>12</v>
      </c>
      <c r="O92" s="1">
        <v>9.1999999999999993</v>
      </c>
      <c r="Q92" s="1">
        <f t="shared" si="17"/>
        <v>111.92</v>
      </c>
      <c r="R92" s="23">
        <f t="shared" si="16"/>
        <v>710.69200000000001</v>
      </c>
      <c r="S92" s="129">
        <v>710</v>
      </c>
      <c r="T92" s="16">
        <v>52</v>
      </c>
      <c r="V92" s="232"/>
      <c r="W92" s="248"/>
    </row>
    <row r="93" spans="1:23" s="7" customFormat="1">
      <c r="A93" s="32"/>
      <c r="F93" s="32"/>
      <c r="H93" s="8"/>
      <c r="I93" s="13">
        <f t="shared" si="14"/>
        <v>0</v>
      </c>
      <c r="J93" s="13">
        <f t="shared" si="15"/>
        <v>0</v>
      </c>
      <c r="K93" s="13">
        <f t="shared" si="12"/>
        <v>0</v>
      </c>
      <c r="L93" s="13"/>
      <c r="M93" s="8"/>
      <c r="N93" s="13"/>
      <c r="O93" s="8"/>
      <c r="P93" s="8"/>
      <c r="Q93" s="8">
        <f t="shared" si="17"/>
        <v>0</v>
      </c>
      <c r="R93" s="68">
        <f t="shared" si="16"/>
        <v>0</v>
      </c>
      <c r="S93" s="48"/>
      <c r="T93" s="40"/>
      <c r="U93" s="13"/>
      <c r="V93" s="96"/>
      <c r="W93" s="13"/>
    </row>
    <row r="94" spans="1:23">
      <c r="A94" s="77">
        <v>28</v>
      </c>
      <c r="B94" t="s">
        <v>202</v>
      </c>
      <c r="C94" t="s">
        <v>204</v>
      </c>
      <c r="F94" s="71" t="s">
        <v>203</v>
      </c>
      <c r="H94" s="1">
        <v>199</v>
      </c>
      <c r="I94" s="70">
        <f t="shared" si="14"/>
        <v>212.93</v>
      </c>
      <c r="J94" s="70">
        <f t="shared" si="15"/>
        <v>214.92000000000002</v>
      </c>
      <c r="K94" s="70">
        <f t="shared" si="12"/>
        <v>1.9900000000000091</v>
      </c>
      <c r="Q94" s="1">
        <f t="shared" si="17"/>
        <v>214.92000000000002</v>
      </c>
      <c r="R94" s="23">
        <f t="shared" si="16"/>
        <v>1364.742</v>
      </c>
      <c r="S94" s="75">
        <v>1370</v>
      </c>
      <c r="T94" s="16">
        <v>160.91999999999999</v>
      </c>
      <c r="W94" s="12">
        <f>Q94-T94</f>
        <v>54.000000000000028</v>
      </c>
    </row>
    <row r="95" spans="1:23" s="7" customFormat="1">
      <c r="A95" s="32"/>
      <c r="F95" s="32"/>
      <c r="H95" s="8"/>
      <c r="I95" s="13">
        <f t="shared" si="14"/>
        <v>0</v>
      </c>
      <c r="J95" s="13">
        <f t="shared" si="15"/>
        <v>0</v>
      </c>
      <c r="K95" s="13">
        <f t="shared" si="12"/>
        <v>0</v>
      </c>
      <c r="L95" s="13"/>
      <c r="M95" s="8"/>
      <c r="N95" s="13"/>
      <c r="O95" s="8"/>
      <c r="P95" s="8"/>
      <c r="Q95" s="8">
        <f t="shared" si="17"/>
        <v>0</v>
      </c>
      <c r="R95" s="68">
        <f t="shared" si="16"/>
        <v>0</v>
      </c>
      <c r="S95" s="48"/>
      <c r="T95" s="40"/>
      <c r="U95" s="13"/>
      <c r="V95" s="96"/>
      <c r="W95" s="13"/>
    </row>
    <row r="96" spans="1:23">
      <c r="A96" s="77">
        <v>29</v>
      </c>
      <c r="B96" t="s">
        <v>206</v>
      </c>
      <c r="C96" t="s">
        <v>207</v>
      </c>
      <c r="D96" t="s">
        <v>208</v>
      </c>
      <c r="F96" s="251" t="s">
        <v>308</v>
      </c>
      <c r="G96" t="s">
        <v>209</v>
      </c>
      <c r="H96" s="1">
        <v>118</v>
      </c>
      <c r="I96" s="70">
        <f t="shared" si="14"/>
        <v>126.26</v>
      </c>
      <c r="J96" s="70">
        <f t="shared" si="15"/>
        <v>127.44000000000001</v>
      </c>
      <c r="K96" s="70">
        <f t="shared" si="12"/>
        <v>1.1800000000000068</v>
      </c>
      <c r="M96" s="1">
        <v>25</v>
      </c>
      <c r="O96" s="1">
        <v>15.244</v>
      </c>
      <c r="Q96" s="1">
        <f t="shared" si="17"/>
        <v>167.684</v>
      </c>
      <c r="R96" s="23">
        <f t="shared" si="16"/>
        <v>1064.7934</v>
      </c>
      <c r="S96" s="75">
        <v>1065</v>
      </c>
      <c r="T96" s="16">
        <v>108</v>
      </c>
      <c r="V96" s="95">
        <v>13</v>
      </c>
      <c r="W96" s="12">
        <f>Q96-T96-V96</f>
        <v>46.683999999999997</v>
      </c>
    </row>
    <row r="97" spans="1:23">
      <c r="A97" s="77">
        <v>30</v>
      </c>
      <c r="B97" t="s">
        <v>215</v>
      </c>
      <c r="C97" t="s">
        <v>216</v>
      </c>
      <c r="D97" t="s">
        <v>217</v>
      </c>
      <c r="F97" s="251"/>
      <c r="G97" t="s">
        <v>209</v>
      </c>
      <c r="H97" s="1">
        <v>223.95</v>
      </c>
      <c r="I97" s="70">
        <f t="shared" si="14"/>
        <v>239.62649999999999</v>
      </c>
      <c r="J97" s="70">
        <f t="shared" si="15"/>
        <v>241.86600000000001</v>
      </c>
      <c r="K97" s="70">
        <f t="shared" si="12"/>
        <v>2.2395000000000209</v>
      </c>
      <c r="M97" s="1">
        <v>20</v>
      </c>
      <c r="O97" s="1">
        <v>26.187000000000001</v>
      </c>
      <c r="Q97" s="1">
        <f t="shared" si="17"/>
        <v>288.053</v>
      </c>
      <c r="R97" s="23">
        <f t="shared" si="16"/>
        <v>1829.1365499999999</v>
      </c>
      <c r="S97" s="75">
        <v>1830</v>
      </c>
      <c r="T97" s="16">
        <v>223.95</v>
      </c>
      <c r="V97" s="95">
        <v>9.5</v>
      </c>
      <c r="W97" s="12">
        <f>Q97-T97-V97</f>
        <v>54.603000000000009</v>
      </c>
    </row>
    <row r="98" spans="1:23" s="7" customFormat="1">
      <c r="A98" s="32"/>
      <c r="F98" s="32"/>
      <c r="H98" s="8"/>
      <c r="I98" s="13">
        <f t="shared" si="14"/>
        <v>0</v>
      </c>
      <c r="J98" s="13">
        <f t="shared" si="15"/>
        <v>0</v>
      </c>
      <c r="K98" s="13">
        <f t="shared" si="12"/>
        <v>0</v>
      </c>
      <c r="L98" s="13"/>
      <c r="M98" s="8"/>
      <c r="N98" s="13"/>
      <c r="O98" s="8"/>
      <c r="P98" s="8"/>
      <c r="Q98" s="8">
        <f t="shared" si="17"/>
        <v>0</v>
      </c>
      <c r="R98" s="68">
        <f t="shared" si="16"/>
        <v>0</v>
      </c>
      <c r="S98" s="48"/>
      <c r="T98" s="40"/>
      <c r="U98" s="13"/>
      <c r="V98" s="96"/>
      <c r="W98" s="13"/>
    </row>
    <row r="99" spans="1:23">
      <c r="A99" s="77">
        <v>31</v>
      </c>
      <c r="B99" t="s">
        <v>223</v>
      </c>
      <c r="C99" t="s">
        <v>224</v>
      </c>
      <c r="D99" t="s">
        <v>222</v>
      </c>
      <c r="F99" s="106" t="s">
        <v>307</v>
      </c>
      <c r="G99" s="31" t="s">
        <v>294</v>
      </c>
      <c r="H99" s="1">
        <v>198.97</v>
      </c>
      <c r="I99" s="70">
        <f t="shared" si="14"/>
        <v>212.89790000000002</v>
      </c>
      <c r="J99" s="70">
        <f t="shared" si="15"/>
        <v>214.88760000000002</v>
      </c>
      <c r="K99" s="70">
        <f t="shared" si="12"/>
        <v>1.9896999999999991</v>
      </c>
      <c r="M99" s="1">
        <v>20</v>
      </c>
      <c r="O99" s="1">
        <v>23.489000000000001</v>
      </c>
      <c r="Q99" s="1">
        <f t="shared" si="17"/>
        <v>258.3766</v>
      </c>
      <c r="R99" s="23">
        <f t="shared" si="16"/>
        <v>1640.6914099999999</v>
      </c>
      <c r="S99" s="75">
        <v>1640</v>
      </c>
      <c r="T99" s="16">
        <v>198.97</v>
      </c>
      <c r="V99" s="95">
        <v>18</v>
      </c>
      <c r="W99" s="12">
        <f>Q99-T99-V99</f>
        <v>41.406599999999997</v>
      </c>
    </row>
    <row r="100" spans="1:23" s="7" customFormat="1">
      <c r="A100" s="32"/>
      <c r="F100" s="32"/>
      <c r="H100" s="8"/>
      <c r="I100" s="13">
        <f t="shared" si="14"/>
        <v>0</v>
      </c>
      <c r="J100" s="13">
        <f t="shared" si="15"/>
        <v>0</v>
      </c>
      <c r="K100" s="13">
        <f t="shared" si="12"/>
        <v>0</v>
      </c>
      <c r="L100" s="13"/>
      <c r="M100" s="8"/>
      <c r="N100" s="13"/>
      <c r="O100" s="8"/>
      <c r="P100" s="8"/>
      <c r="Q100" s="8">
        <f t="shared" si="17"/>
        <v>0</v>
      </c>
      <c r="R100" s="68">
        <f t="shared" si="16"/>
        <v>0</v>
      </c>
      <c r="S100" s="48"/>
      <c r="T100" s="40"/>
      <c r="U100" s="13"/>
      <c r="V100" s="96"/>
      <c r="W100" s="13"/>
    </row>
    <row r="101" spans="1:23">
      <c r="A101" s="77">
        <v>32</v>
      </c>
      <c r="B101" t="s">
        <v>231</v>
      </c>
      <c r="C101" t="s">
        <v>232</v>
      </c>
      <c r="D101" s="31" t="s">
        <v>233</v>
      </c>
      <c r="F101" s="251" t="s">
        <v>324</v>
      </c>
      <c r="G101" s="31" t="s">
        <v>229</v>
      </c>
      <c r="H101" s="1">
        <v>89</v>
      </c>
      <c r="I101" s="70">
        <f t="shared" si="14"/>
        <v>95.23</v>
      </c>
      <c r="J101" s="70">
        <f t="shared" si="15"/>
        <v>96.12</v>
      </c>
      <c r="K101" s="70">
        <f t="shared" si="12"/>
        <v>0.89000000000000057</v>
      </c>
      <c r="M101" s="1">
        <v>25</v>
      </c>
      <c r="O101" s="1">
        <v>13.53</v>
      </c>
      <c r="Q101" s="1">
        <f t="shared" si="17"/>
        <v>134.65</v>
      </c>
      <c r="R101" s="23">
        <f t="shared" si="16"/>
        <v>855.02750000000003</v>
      </c>
      <c r="S101" s="249">
        <v>1110</v>
      </c>
      <c r="T101" s="247">
        <v>115.1</v>
      </c>
      <c r="V101" s="232">
        <v>20</v>
      </c>
      <c r="W101" s="248">
        <f>Q101+Q102-T101-V101</f>
        <v>39.707999999999998</v>
      </c>
    </row>
    <row r="102" spans="1:23">
      <c r="F102" s="251"/>
      <c r="H102" s="1">
        <v>26.1</v>
      </c>
      <c r="I102" s="70">
        <f t="shared" si="14"/>
        <v>27.927000000000003</v>
      </c>
      <c r="J102" s="70">
        <f t="shared" si="15"/>
        <v>28.188000000000002</v>
      </c>
      <c r="K102" s="70">
        <f t="shared" si="12"/>
        <v>0.26099999999999923</v>
      </c>
      <c r="M102" s="1">
        <v>6</v>
      </c>
      <c r="O102" s="1">
        <v>5.97</v>
      </c>
      <c r="Q102" s="1">
        <f t="shared" si="17"/>
        <v>40.158000000000001</v>
      </c>
      <c r="R102" s="23">
        <f t="shared" si="16"/>
        <v>255.0033</v>
      </c>
      <c r="S102" s="249"/>
      <c r="T102" s="247"/>
      <c r="V102" s="232"/>
      <c r="W102" s="248"/>
    </row>
    <row r="103" spans="1:23" s="7" customFormat="1">
      <c r="A103" s="32"/>
      <c r="F103" s="32"/>
      <c r="H103" s="8"/>
      <c r="I103" s="13">
        <f t="shared" si="14"/>
        <v>0</v>
      </c>
      <c r="J103" s="13">
        <f t="shared" si="15"/>
        <v>0</v>
      </c>
      <c r="K103" s="13">
        <f t="shared" si="12"/>
        <v>0</v>
      </c>
      <c r="L103" s="13"/>
      <c r="M103" s="8"/>
      <c r="N103" s="13"/>
      <c r="O103" s="8"/>
      <c r="P103" s="8"/>
      <c r="Q103" s="8">
        <f t="shared" si="17"/>
        <v>0</v>
      </c>
      <c r="R103" s="68">
        <f t="shared" si="16"/>
        <v>0</v>
      </c>
      <c r="S103" s="48"/>
      <c r="T103" s="40"/>
      <c r="U103" s="13"/>
      <c r="V103" s="96"/>
      <c r="W103" s="13"/>
    </row>
    <row r="104" spans="1:23">
      <c r="A104" s="77">
        <v>33</v>
      </c>
      <c r="B104" t="s">
        <v>234</v>
      </c>
      <c r="C104" t="s">
        <v>235</v>
      </c>
      <c r="D104" t="s">
        <v>236</v>
      </c>
      <c r="F104" s="139" t="s">
        <v>367</v>
      </c>
      <c r="G104" t="s">
        <v>258</v>
      </c>
      <c r="H104" s="1">
        <v>137.5</v>
      </c>
      <c r="I104" s="70">
        <f t="shared" si="14"/>
        <v>147.125</v>
      </c>
      <c r="J104" s="70">
        <f t="shared" si="15"/>
        <v>148.5</v>
      </c>
      <c r="K104" s="70">
        <f t="shared" si="12"/>
        <v>1.375</v>
      </c>
      <c r="M104" s="1">
        <v>33</v>
      </c>
      <c r="O104" s="1">
        <v>0.5</v>
      </c>
      <c r="Q104" s="1">
        <f t="shared" si="17"/>
        <v>182</v>
      </c>
      <c r="R104" s="23">
        <f t="shared" si="16"/>
        <v>1155.7</v>
      </c>
      <c r="S104" s="129">
        <v>1155</v>
      </c>
      <c r="T104" s="16">
        <v>147.12</v>
      </c>
      <c r="V104" s="232">
        <v>13</v>
      </c>
      <c r="W104" s="12">
        <f>Q104-T104-V104</f>
        <v>21.879999999999995</v>
      </c>
    </row>
    <row r="105" spans="1:23">
      <c r="A105" s="77">
        <v>34</v>
      </c>
      <c r="B105" t="s">
        <v>244</v>
      </c>
      <c r="C105" t="s">
        <v>245</v>
      </c>
      <c r="D105" s="71">
        <v>565253573</v>
      </c>
      <c r="F105" s="71"/>
      <c r="G105" t="s">
        <v>274</v>
      </c>
      <c r="H105" s="1">
        <v>49.5</v>
      </c>
      <c r="I105" s="70">
        <f t="shared" si="14"/>
        <v>52.965000000000003</v>
      </c>
      <c r="J105" s="70">
        <f t="shared" si="15"/>
        <v>53.46</v>
      </c>
      <c r="K105" s="70">
        <f t="shared" si="12"/>
        <v>0.49499999999999744</v>
      </c>
      <c r="L105" s="70"/>
      <c r="M105" s="1">
        <v>16.989999999999998</v>
      </c>
      <c r="N105" s="70"/>
      <c r="Q105" s="1">
        <f t="shared" si="17"/>
        <v>70.45</v>
      </c>
      <c r="R105" s="23">
        <f t="shared" si="16"/>
        <v>447.35750000000002</v>
      </c>
      <c r="S105" s="129">
        <v>450</v>
      </c>
      <c r="T105" s="72">
        <v>48.49</v>
      </c>
      <c r="U105" s="70"/>
      <c r="V105" s="232"/>
      <c r="W105" s="70">
        <f>Q105-T105</f>
        <v>21.96</v>
      </c>
    </row>
    <row r="106" spans="1:23" s="7" customFormat="1">
      <c r="A106" s="32"/>
      <c r="F106" s="32"/>
      <c r="H106" s="8"/>
      <c r="I106" s="13">
        <f t="shared" si="14"/>
        <v>0</v>
      </c>
      <c r="J106" s="13">
        <f t="shared" si="15"/>
        <v>0</v>
      </c>
      <c r="K106" s="13">
        <f t="shared" si="12"/>
        <v>0</v>
      </c>
      <c r="L106" s="13"/>
      <c r="M106" s="8"/>
      <c r="N106" s="13"/>
      <c r="O106" s="8"/>
      <c r="P106" s="8"/>
      <c r="Q106" s="8">
        <f t="shared" si="17"/>
        <v>0</v>
      </c>
      <c r="R106" s="68">
        <f t="shared" si="16"/>
        <v>0</v>
      </c>
      <c r="S106" s="48"/>
      <c r="T106" s="40"/>
      <c r="U106" s="13"/>
      <c r="V106" s="96"/>
      <c r="W106" s="13"/>
    </row>
    <row r="107" spans="1:23">
      <c r="A107" s="77">
        <v>35</v>
      </c>
      <c r="B107" t="s">
        <v>238</v>
      </c>
      <c r="C107" t="s">
        <v>239</v>
      </c>
      <c r="D107" t="s">
        <v>240</v>
      </c>
      <c r="F107" s="144" t="s">
        <v>392</v>
      </c>
      <c r="G107" t="s">
        <v>152</v>
      </c>
      <c r="H107" s="1">
        <v>64.8</v>
      </c>
      <c r="I107" s="70">
        <f t="shared" si="14"/>
        <v>69.335999999999999</v>
      </c>
      <c r="J107" s="70">
        <f t="shared" si="15"/>
        <v>69.983999999999995</v>
      </c>
      <c r="K107" s="70">
        <f t="shared" si="12"/>
        <v>0.64799999999999613</v>
      </c>
      <c r="O107" s="1">
        <v>7.2</v>
      </c>
      <c r="Q107" s="1">
        <f t="shared" si="17"/>
        <v>77.183999999999997</v>
      </c>
      <c r="R107" s="23">
        <f t="shared" si="16"/>
        <v>490.11839999999995</v>
      </c>
      <c r="S107" s="75">
        <v>490</v>
      </c>
      <c r="T107" s="16">
        <v>57.67</v>
      </c>
      <c r="V107" s="232">
        <v>48</v>
      </c>
      <c r="W107" s="12">
        <f>Q107-T107</f>
        <v>19.513999999999996</v>
      </c>
    </row>
    <row r="108" spans="1:23">
      <c r="A108" s="77"/>
      <c r="C108" t="s">
        <v>241</v>
      </c>
      <c r="D108" s="71" t="s">
        <v>242</v>
      </c>
      <c r="H108" s="1">
        <v>159</v>
      </c>
      <c r="I108" s="70">
        <f t="shared" si="14"/>
        <v>170.13000000000002</v>
      </c>
      <c r="J108" s="70">
        <f t="shared" si="15"/>
        <v>171.72</v>
      </c>
      <c r="K108" s="70">
        <f t="shared" ref="K108:K177" si="18">J108-I108</f>
        <v>1.589999999999975</v>
      </c>
      <c r="O108" s="1">
        <v>20.399999999999999</v>
      </c>
      <c r="Q108" s="1">
        <f t="shared" si="17"/>
        <v>192.12</v>
      </c>
      <c r="R108" s="23">
        <f t="shared" si="16"/>
        <v>1219.962</v>
      </c>
      <c r="S108" s="75">
        <v>1220</v>
      </c>
      <c r="T108" s="16">
        <v>170.13</v>
      </c>
      <c r="V108" s="232"/>
      <c r="W108" s="12">
        <f>Q108-T108</f>
        <v>21.990000000000009</v>
      </c>
    </row>
    <row r="109" spans="1:23">
      <c r="A109" s="77">
        <v>36</v>
      </c>
      <c r="B109" t="s">
        <v>253</v>
      </c>
      <c r="C109" t="s">
        <v>254</v>
      </c>
      <c r="D109" s="71">
        <v>3608522855</v>
      </c>
      <c r="F109" s="71"/>
      <c r="H109" s="1">
        <v>51.98</v>
      </c>
      <c r="I109" s="70">
        <f t="shared" si="14"/>
        <v>55.618600000000001</v>
      </c>
      <c r="J109" s="70">
        <f t="shared" si="15"/>
        <v>56.138399999999997</v>
      </c>
      <c r="K109" s="70">
        <f t="shared" si="18"/>
        <v>0.51979999999999649</v>
      </c>
      <c r="L109" s="70"/>
      <c r="M109" s="1">
        <v>3.99</v>
      </c>
      <c r="N109" s="70"/>
      <c r="O109" s="1">
        <v>6.0129999999999999</v>
      </c>
      <c r="Q109" s="1">
        <f t="shared" si="17"/>
        <v>66.141400000000004</v>
      </c>
      <c r="R109" s="23">
        <f t="shared" si="16"/>
        <v>419.99788999999998</v>
      </c>
      <c r="S109" s="75">
        <v>420</v>
      </c>
      <c r="T109" s="72">
        <v>42.97</v>
      </c>
      <c r="U109" s="70"/>
      <c r="V109" s="232"/>
      <c r="W109" s="70">
        <f>Q109-T109</f>
        <v>23.171400000000006</v>
      </c>
    </row>
    <row r="110" spans="1:23" s="4" customFormat="1">
      <c r="A110" s="33"/>
      <c r="C110" s="4" t="s">
        <v>257</v>
      </c>
      <c r="D110" s="33" t="s">
        <v>255</v>
      </c>
      <c r="F110" s="33"/>
      <c r="H110" s="5">
        <v>57.6</v>
      </c>
      <c r="I110" s="74">
        <f t="shared" si="14"/>
        <v>61.632000000000005</v>
      </c>
      <c r="J110" s="74">
        <f t="shared" si="15"/>
        <v>62.208000000000006</v>
      </c>
      <c r="K110" s="74">
        <f t="shared" si="18"/>
        <v>0.57600000000000051</v>
      </c>
      <c r="L110" s="74"/>
      <c r="M110" s="5"/>
      <c r="N110" s="74"/>
      <c r="O110" s="5">
        <v>6.22</v>
      </c>
      <c r="P110" s="5"/>
      <c r="Q110" s="1">
        <f t="shared" si="17"/>
        <v>68.428000000000011</v>
      </c>
      <c r="R110" s="23">
        <f t="shared" si="16"/>
        <v>434.51780000000002</v>
      </c>
      <c r="S110" s="75">
        <v>435</v>
      </c>
      <c r="T110" s="41">
        <v>49.2</v>
      </c>
      <c r="U110" s="74"/>
      <c r="V110" s="232"/>
      <c r="W110" s="74">
        <f>Q110-T110</f>
        <v>19.228000000000009</v>
      </c>
    </row>
    <row r="111" spans="1:23" s="7" customFormat="1">
      <c r="A111" s="32"/>
      <c r="F111" s="32"/>
      <c r="H111" s="8"/>
      <c r="I111" s="13"/>
      <c r="J111" s="13"/>
      <c r="K111" s="13"/>
      <c r="L111" s="13"/>
      <c r="M111" s="8"/>
      <c r="N111" s="13"/>
      <c r="O111" s="8"/>
      <c r="P111" s="8"/>
      <c r="Q111" s="8">
        <f t="shared" si="17"/>
        <v>0</v>
      </c>
      <c r="R111" s="68">
        <f t="shared" si="16"/>
        <v>0</v>
      </c>
      <c r="S111" s="48"/>
      <c r="T111" s="40"/>
      <c r="U111" s="13"/>
      <c r="V111" s="96"/>
      <c r="W111" s="13"/>
    </row>
    <row r="112" spans="1:23">
      <c r="A112" s="77">
        <v>37</v>
      </c>
      <c r="B112" t="s">
        <v>264</v>
      </c>
      <c r="C112" s="4" t="s">
        <v>265</v>
      </c>
      <c r="D112" s="93" t="s">
        <v>270</v>
      </c>
      <c r="F112" s="148" t="s">
        <v>401</v>
      </c>
      <c r="H112" s="1">
        <f>62.99*2</f>
        <v>125.98</v>
      </c>
      <c r="I112" s="81">
        <f t="shared" si="14"/>
        <v>134.79860000000002</v>
      </c>
      <c r="J112" s="70">
        <f t="shared" si="15"/>
        <v>136.05840000000001</v>
      </c>
      <c r="K112" s="70">
        <f t="shared" si="18"/>
        <v>1.2597999999999843</v>
      </c>
      <c r="M112" s="248">
        <v>3.99</v>
      </c>
      <c r="O112" s="1">
        <v>14.005000000000001</v>
      </c>
      <c r="Q112" s="1">
        <f t="shared" si="17"/>
        <v>154.05340000000001</v>
      </c>
      <c r="R112" s="23">
        <f t="shared" si="16"/>
        <v>978.23909000000003</v>
      </c>
      <c r="S112" s="82">
        <v>978</v>
      </c>
      <c r="T112" s="247">
        <f>184.98+80</f>
        <v>264.98</v>
      </c>
      <c r="W112" s="248">
        <f>SUM(Q112:Q116)-T112</f>
        <v>191.10919999999999</v>
      </c>
    </row>
    <row r="113" spans="1:23">
      <c r="C113" s="4" t="s">
        <v>266</v>
      </c>
      <c r="F113" s="33" t="s">
        <v>393</v>
      </c>
      <c r="G113" t="s">
        <v>209</v>
      </c>
      <c r="H113" s="1">
        <f>17.24*4</f>
        <v>68.959999999999994</v>
      </c>
      <c r="I113" s="81">
        <f t="shared" si="14"/>
        <v>73.787199999999999</v>
      </c>
      <c r="J113" s="70">
        <f t="shared" si="15"/>
        <v>74.476799999999997</v>
      </c>
      <c r="K113" s="70">
        <f t="shared" si="18"/>
        <v>0.68959999999999866</v>
      </c>
      <c r="M113" s="248"/>
      <c r="O113" s="1">
        <v>7.4480000000000004</v>
      </c>
      <c r="Q113" s="1">
        <f t="shared" si="17"/>
        <v>81.924800000000005</v>
      </c>
      <c r="R113" s="23">
        <f t="shared" si="16"/>
        <v>520.22248000000002</v>
      </c>
      <c r="S113" s="82">
        <v>520</v>
      </c>
      <c r="T113" s="247"/>
      <c r="U113" s="127" t="s">
        <v>340</v>
      </c>
      <c r="V113" s="119">
        <v>35</v>
      </c>
      <c r="W113" s="248"/>
    </row>
    <row r="114" spans="1:23">
      <c r="C114" s="4" t="s">
        <v>269</v>
      </c>
      <c r="H114" s="1">
        <f>17.97*4</f>
        <v>71.88</v>
      </c>
      <c r="I114" s="81">
        <f t="shared" si="14"/>
        <v>76.911599999999993</v>
      </c>
      <c r="J114" s="70">
        <f t="shared" si="15"/>
        <v>77.630399999999995</v>
      </c>
      <c r="K114" s="70">
        <f t="shared" si="18"/>
        <v>0.71880000000000166</v>
      </c>
      <c r="M114" s="248"/>
      <c r="O114" s="1">
        <v>7.7629999999999999</v>
      </c>
      <c r="Q114" s="1">
        <f t="shared" si="17"/>
        <v>85.3934</v>
      </c>
      <c r="R114" s="23">
        <f t="shared" si="16"/>
        <v>542.24808999999993</v>
      </c>
      <c r="S114" s="82">
        <v>542</v>
      </c>
      <c r="T114" s="247"/>
      <c r="V114" s="119"/>
      <c r="W114" s="248"/>
    </row>
    <row r="115" spans="1:23">
      <c r="C115" s="4" t="s">
        <v>268</v>
      </c>
      <c r="H115" s="1">
        <f>17.24*4</f>
        <v>68.959999999999994</v>
      </c>
      <c r="I115" s="81">
        <f t="shared" si="14"/>
        <v>73.787199999999999</v>
      </c>
      <c r="J115" s="70">
        <f t="shared" si="15"/>
        <v>74.476799999999997</v>
      </c>
      <c r="K115" s="70">
        <f t="shared" si="18"/>
        <v>0.68959999999999866</v>
      </c>
      <c r="M115" s="248"/>
      <c r="O115" s="1">
        <v>7.4480000000000004</v>
      </c>
      <c r="Q115" s="1">
        <f t="shared" si="17"/>
        <v>81.924800000000005</v>
      </c>
      <c r="R115" s="23">
        <f t="shared" si="16"/>
        <v>520.22248000000002</v>
      </c>
      <c r="S115" s="82">
        <v>520</v>
      </c>
      <c r="T115" s="247"/>
      <c r="V115" s="119">
        <v>25</v>
      </c>
      <c r="W115" s="248"/>
    </row>
    <row r="116" spans="1:23">
      <c r="C116" s="4" t="s">
        <v>267</v>
      </c>
      <c r="H116" s="1">
        <f>11.04*4</f>
        <v>44.16</v>
      </c>
      <c r="I116" s="81">
        <f t="shared" si="14"/>
        <v>47.251199999999997</v>
      </c>
      <c r="J116" s="70">
        <f t="shared" si="15"/>
        <v>47.692799999999998</v>
      </c>
      <c r="K116" s="70">
        <f t="shared" si="18"/>
        <v>0.4416000000000011</v>
      </c>
      <c r="M116" s="248"/>
      <c r="O116" s="1">
        <v>5.0999999999999996</v>
      </c>
      <c r="Q116" s="1">
        <f t="shared" si="17"/>
        <v>52.7928</v>
      </c>
      <c r="R116" s="23">
        <f t="shared" si="16"/>
        <v>335.23427999999996</v>
      </c>
      <c r="S116" s="82">
        <v>335</v>
      </c>
      <c r="T116" s="247"/>
      <c r="V116" s="119"/>
      <c r="W116" s="248"/>
    </row>
    <row r="117" spans="1:23">
      <c r="C117" s="4" t="s">
        <v>273</v>
      </c>
      <c r="D117" s="33">
        <v>107430425</v>
      </c>
      <c r="H117" s="1">
        <v>70</v>
      </c>
      <c r="I117" s="81">
        <f t="shared" si="14"/>
        <v>74.900000000000006</v>
      </c>
      <c r="J117" s="70">
        <f t="shared" si="15"/>
        <v>75.600000000000009</v>
      </c>
      <c r="K117" s="70">
        <f t="shared" si="18"/>
        <v>0.70000000000000284</v>
      </c>
      <c r="M117" s="1">
        <v>6.95</v>
      </c>
      <c r="O117" s="1">
        <v>8</v>
      </c>
      <c r="Q117" s="1">
        <f t="shared" si="17"/>
        <v>90.550000000000011</v>
      </c>
      <c r="R117" s="23">
        <f t="shared" si="16"/>
        <v>574.99250000000006</v>
      </c>
      <c r="S117" s="82">
        <v>575</v>
      </c>
      <c r="T117" s="16">
        <v>74.849999999999994</v>
      </c>
      <c r="W117" s="12">
        <f>Q117-T117</f>
        <v>15.700000000000017</v>
      </c>
    </row>
    <row r="118" spans="1:23" s="7" customFormat="1">
      <c r="A118" s="32"/>
      <c r="F118" s="32"/>
      <c r="H118" s="8"/>
      <c r="I118" s="13">
        <f t="shared" si="14"/>
        <v>0</v>
      </c>
      <c r="J118" s="13">
        <f t="shared" si="15"/>
        <v>0</v>
      </c>
      <c r="K118" s="13">
        <f t="shared" si="18"/>
        <v>0</v>
      </c>
      <c r="L118" s="13"/>
      <c r="M118" s="8"/>
      <c r="N118" s="13"/>
      <c r="O118" s="8"/>
      <c r="P118" s="8"/>
      <c r="Q118" s="8">
        <f t="shared" si="17"/>
        <v>0</v>
      </c>
      <c r="R118" s="68">
        <f t="shared" si="16"/>
        <v>0</v>
      </c>
      <c r="S118" s="48"/>
      <c r="T118" s="40"/>
      <c r="U118" s="13"/>
      <c r="V118" s="96"/>
      <c r="W118" s="13"/>
    </row>
    <row r="119" spans="1:23">
      <c r="A119" s="77">
        <v>38</v>
      </c>
      <c r="B119" t="s">
        <v>278</v>
      </c>
      <c r="C119" s="4" t="s">
        <v>279</v>
      </c>
      <c r="D119" t="s">
        <v>280</v>
      </c>
      <c r="F119" s="148" t="s">
        <v>399</v>
      </c>
      <c r="G119" s="31" t="s">
        <v>294</v>
      </c>
      <c r="H119" s="1">
        <v>110</v>
      </c>
      <c r="I119" s="81">
        <f t="shared" si="14"/>
        <v>117.7</v>
      </c>
      <c r="J119" s="70">
        <f t="shared" si="15"/>
        <v>118.80000000000001</v>
      </c>
      <c r="K119" s="70">
        <f t="shared" si="18"/>
        <v>1.1000000000000085</v>
      </c>
      <c r="L119" s="12">
        <v>20</v>
      </c>
      <c r="M119" s="1">
        <v>10</v>
      </c>
      <c r="O119" s="1">
        <v>40.200000000000003</v>
      </c>
      <c r="Q119" s="1">
        <f>SUM(L119,J119,M119,O119)</f>
        <v>189</v>
      </c>
      <c r="R119" s="23">
        <f t="shared" si="16"/>
        <v>1200.1499999999999</v>
      </c>
      <c r="S119" s="92">
        <v>1200</v>
      </c>
      <c r="T119" s="16">
        <v>128.4</v>
      </c>
      <c r="V119" s="232">
        <v>21</v>
      </c>
      <c r="W119" s="12">
        <f>Q119-T119-V119</f>
        <v>39.599999999999994</v>
      </c>
    </row>
    <row r="120" spans="1:23">
      <c r="A120" s="77">
        <v>40</v>
      </c>
      <c r="B120" t="s">
        <v>296</v>
      </c>
      <c r="C120" s="4" t="s">
        <v>297</v>
      </c>
      <c r="D120" s="101">
        <v>2059638</v>
      </c>
      <c r="F120" s="101"/>
      <c r="G120" s="31"/>
      <c r="H120" s="1">
        <v>99</v>
      </c>
      <c r="I120" s="99">
        <f t="shared" si="14"/>
        <v>105.93</v>
      </c>
      <c r="J120" s="97">
        <f t="shared" si="15"/>
        <v>106.92</v>
      </c>
      <c r="K120" s="97">
        <f t="shared" si="18"/>
        <v>0.98999999999999488</v>
      </c>
      <c r="L120" s="97"/>
      <c r="M120" s="1">
        <v>5</v>
      </c>
      <c r="N120" s="97"/>
      <c r="O120" s="1">
        <v>11.7</v>
      </c>
      <c r="Q120" s="1">
        <f>SUM(L120,J120,M120,O120)</f>
        <v>123.62</v>
      </c>
      <c r="R120" s="23">
        <f t="shared" si="16"/>
        <v>784.98699999999997</v>
      </c>
      <c r="S120" s="100">
        <v>785</v>
      </c>
      <c r="T120" s="98">
        <v>89.88</v>
      </c>
      <c r="U120" s="97"/>
      <c r="V120" s="232"/>
      <c r="W120" s="97">
        <f>Q120-T120</f>
        <v>33.740000000000009</v>
      </c>
    </row>
    <row r="121" spans="1:23" s="7" customFormat="1">
      <c r="A121" s="32"/>
      <c r="F121" s="32"/>
      <c r="H121" s="8"/>
      <c r="I121" s="13">
        <f t="shared" si="14"/>
        <v>0</v>
      </c>
      <c r="J121" s="13">
        <f t="shared" si="15"/>
        <v>0</v>
      </c>
      <c r="K121" s="13">
        <f t="shared" si="18"/>
        <v>0</v>
      </c>
      <c r="L121" s="13"/>
      <c r="M121" s="8"/>
      <c r="N121" s="13"/>
      <c r="O121" s="8"/>
      <c r="P121" s="8"/>
      <c r="Q121" s="8">
        <f t="shared" si="17"/>
        <v>0</v>
      </c>
      <c r="R121" s="68">
        <f t="shared" si="16"/>
        <v>0</v>
      </c>
      <c r="S121" s="48"/>
      <c r="T121" s="40"/>
      <c r="U121" s="13"/>
      <c r="V121" s="96"/>
      <c r="W121" s="13"/>
    </row>
    <row r="122" spans="1:23">
      <c r="A122" s="77">
        <v>39</v>
      </c>
      <c r="B122" t="s">
        <v>286</v>
      </c>
      <c r="C122" s="4" t="s">
        <v>287</v>
      </c>
      <c r="D122" t="s">
        <v>293</v>
      </c>
      <c r="F122" s="158" t="s">
        <v>413</v>
      </c>
      <c r="G122" t="s">
        <v>152</v>
      </c>
      <c r="H122" s="1">
        <v>139.91999999999999</v>
      </c>
      <c r="I122" s="81">
        <f t="shared" si="14"/>
        <v>149.71439999999998</v>
      </c>
      <c r="J122" s="70">
        <f t="shared" si="15"/>
        <v>151.11359999999999</v>
      </c>
      <c r="K122" s="70">
        <f t="shared" si="18"/>
        <v>1.3992000000000075</v>
      </c>
      <c r="O122" s="1">
        <v>8</v>
      </c>
      <c r="Q122" s="1">
        <f t="shared" si="17"/>
        <v>159.11359999999999</v>
      </c>
      <c r="R122" s="23">
        <f t="shared" si="16"/>
        <v>1010.3713599999999</v>
      </c>
      <c r="S122" s="100">
        <v>1010</v>
      </c>
      <c r="T122" s="16">
        <v>124.55</v>
      </c>
      <c r="U122" s="127" t="s">
        <v>364</v>
      </c>
      <c r="V122" s="134">
        <v>27</v>
      </c>
      <c r="W122" s="12">
        <f>Q122-T122</f>
        <v>34.563599999999994</v>
      </c>
    </row>
    <row r="123" spans="1:23">
      <c r="C123" s="4" t="s">
        <v>288</v>
      </c>
      <c r="D123" t="s">
        <v>284</v>
      </c>
      <c r="F123" s="158" t="s">
        <v>414</v>
      </c>
      <c r="H123" s="1">
        <v>590.52</v>
      </c>
      <c r="I123" s="81">
        <f t="shared" si="14"/>
        <v>631.85640000000001</v>
      </c>
      <c r="J123" s="70">
        <f t="shared" si="15"/>
        <v>637.76160000000004</v>
      </c>
      <c r="K123" s="70">
        <f t="shared" si="18"/>
        <v>5.9052000000000362</v>
      </c>
      <c r="M123" s="1">
        <v>6</v>
      </c>
      <c r="O123" s="1">
        <v>31.8</v>
      </c>
      <c r="Q123" s="1">
        <f t="shared" si="17"/>
        <v>675.5616</v>
      </c>
      <c r="R123" s="23">
        <f t="shared" si="16"/>
        <v>4289.8161599999994</v>
      </c>
      <c r="S123" s="249">
        <v>7375</v>
      </c>
      <c r="T123" s="16">
        <v>602.32000000000005</v>
      </c>
      <c r="U123" s="126" t="s">
        <v>348</v>
      </c>
      <c r="V123" s="134">
        <v>167.5</v>
      </c>
      <c r="W123" s="248">
        <f>SUM(Q123:Q124)-T123-T124-66</f>
        <v>151.30160000000012</v>
      </c>
    </row>
    <row r="124" spans="1:23">
      <c r="C124" s="4" t="s">
        <v>290</v>
      </c>
      <c r="D124" t="s">
        <v>285</v>
      </c>
      <c r="H124" s="1">
        <v>428</v>
      </c>
      <c r="I124" s="81">
        <f t="shared" si="14"/>
        <v>457.96000000000004</v>
      </c>
      <c r="J124" s="70">
        <f t="shared" si="15"/>
        <v>462.24</v>
      </c>
      <c r="K124" s="70">
        <f t="shared" si="18"/>
        <v>4.2799999999999727</v>
      </c>
      <c r="O124" s="1">
        <v>23.6</v>
      </c>
      <c r="Q124" s="1">
        <f t="shared" si="17"/>
        <v>485.84000000000003</v>
      </c>
      <c r="R124" s="23">
        <f t="shared" si="16"/>
        <v>3085.0839999999998</v>
      </c>
      <c r="S124" s="249"/>
      <c r="T124" s="16">
        <v>341.78</v>
      </c>
      <c r="W124" s="248"/>
    </row>
    <row r="125" spans="1:23" s="7" customFormat="1">
      <c r="A125" s="32"/>
      <c r="F125" s="32"/>
      <c r="H125" s="8"/>
      <c r="I125" s="13">
        <f t="shared" si="14"/>
        <v>0</v>
      </c>
      <c r="J125" s="13">
        <f t="shared" si="15"/>
        <v>0</v>
      </c>
      <c r="K125" s="13">
        <f t="shared" si="18"/>
        <v>0</v>
      </c>
      <c r="L125" s="13"/>
      <c r="M125" s="8"/>
      <c r="N125" s="13"/>
      <c r="O125" s="8"/>
      <c r="P125" s="8"/>
      <c r="Q125" s="8">
        <f t="shared" si="17"/>
        <v>0</v>
      </c>
      <c r="R125" s="68">
        <f t="shared" si="16"/>
        <v>0</v>
      </c>
      <c r="S125" s="48"/>
      <c r="T125" s="40"/>
      <c r="U125" s="13"/>
      <c r="V125" s="96"/>
      <c r="W125" s="13"/>
    </row>
    <row r="126" spans="1:23">
      <c r="A126" s="77">
        <v>41</v>
      </c>
      <c r="B126" t="s">
        <v>305</v>
      </c>
      <c r="C126" s="4" t="s">
        <v>306</v>
      </c>
      <c r="D126" s="30" t="s">
        <v>309</v>
      </c>
      <c r="F126" s="157" t="s">
        <v>418</v>
      </c>
      <c r="G126" s="31" t="s">
        <v>303</v>
      </c>
      <c r="H126" s="1">
        <v>179</v>
      </c>
      <c r="I126" s="81">
        <f t="shared" si="14"/>
        <v>191.53</v>
      </c>
      <c r="J126" s="70">
        <f t="shared" si="15"/>
        <v>193.32000000000002</v>
      </c>
      <c r="K126" s="70">
        <f t="shared" si="18"/>
        <v>1.7900000000000205</v>
      </c>
      <c r="L126" s="12">
        <v>26</v>
      </c>
      <c r="M126" s="1">
        <v>5</v>
      </c>
      <c r="O126" s="1">
        <v>23</v>
      </c>
      <c r="Q126" s="1">
        <f>SUM(J126,L126,M126,O126)</f>
        <v>247.32000000000002</v>
      </c>
      <c r="R126" s="23">
        <f t="shared" si="16"/>
        <v>1570.482</v>
      </c>
      <c r="S126" s="104">
        <v>1570</v>
      </c>
      <c r="T126" s="16">
        <v>196.88</v>
      </c>
      <c r="V126" s="95">
        <v>24</v>
      </c>
      <c r="W126" s="12">
        <f>Q126-T126-V126</f>
        <v>26.440000000000026</v>
      </c>
    </row>
    <row r="127" spans="1:23">
      <c r="A127" s="77">
        <v>42</v>
      </c>
      <c r="B127" t="s">
        <v>311</v>
      </c>
      <c r="C127" s="4" t="s">
        <v>312</v>
      </c>
      <c r="D127" s="30" t="s">
        <v>313</v>
      </c>
      <c r="F127" s="112"/>
      <c r="H127" s="1">
        <v>103</v>
      </c>
      <c r="I127" s="110">
        <f t="shared" ref="I127" si="19">H127*1.07</f>
        <v>110.21000000000001</v>
      </c>
      <c r="J127" s="107">
        <f t="shared" ref="J127" si="20">H127*1.08</f>
        <v>111.24000000000001</v>
      </c>
      <c r="K127" s="107">
        <f t="shared" ref="K127" si="21">J127-I127</f>
        <v>1.0300000000000011</v>
      </c>
      <c r="L127" s="107"/>
      <c r="N127" s="107"/>
      <c r="O127" s="1">
        <v>24.2</v>
      </c>
      <c r="Q127" s="1">
        <f t="shared" ref="Q127" si="22">SUM(J127,M127,O127)</f>
        <v>135.44</v>
      </c>
      <c r="R127" s="23">
        <f t="shared" ref="R127" si="23">Q127*6.35</f>
        <v>860.04399999999998</v>
      </c>
      <c r="S127" s="111">
        <v>860</v>
      </c>
      <c r="T127" s="108">
        <v>110.21</v>
      </c>
      <c r="U127" s="107"/>
      <c r="V127" s="109"/>
      <c r="W127" s="107">
        <f>Q127-T127</f>
        <v>25.230000000000004</v>
      </c>
    </row>
    <row r="128" spans="1:23" s="7" customFormat="1">
      <c r="A128" s="32"/>
      <c r="F128" s="32"/>
      <c r="H128" s="8"/>
      <c r="I128" s="13">
        <f t="shared" si="14"/>
        <v>0</v>
      </c>
      <c r="J128" s="13">
        <f t="shared" si="15"/>
        <v>0</v>
      </c>
      <c r="K128" s="13">
        <f t="shared" si="18"/>
        <v>0</v>
      </c>
      <c r="L128" s="13"/>
      <c r="M128" s="8"/>
      <c r="N128" s="13"/>
      <c r="O128" s="8"/>
      <c r="P128" s="8"/>
      <c r="Q128" s="8">
        <f t="shared" si="17"/>
        <v>0</v>
      </c>
      <c r="R128" s="68">
        <f t="shared" si="16"/>
        <v>0</v>
      </c>
      <c r="S128" s="48"/>
      <c r="T128" s="40"/>
      <c r="U128" s="13"/>
      <c r="V128" s="96"/>
      <c r="W128" s="13"/>
    </row>
    <row r="129" spans="1:23">
      <c r="A129" s="77">
        <v>43</v>
      </c>
      <c r="B129" t="s">
        <v>315</v>
      </c>
      <c r="C129" s="4" t="s">
        <v>321</v>
      </c>
      <c r="D129" s="30" t="s">
        <v>314</v>
      </c>
      <c r="F129" s="144" t="s">
        <v>394</v>
      </c>
      <c r="G129" t="s">
        <v>59</v>
      </c>
      <c r="H129" s="1">
        <f>45+68</f>
        <v>113</v>
      </c>
      <c r="I129" s="81">
        <f t="shared" si="14"/>
        <v>120.91000000000001</v>
      </c>
      <c r="J129" s="70">
        <f t="shared" si="15"/>
        <v>122.04</v>
      </c>
      <c r="K129" s="70">
        <f t="shared" si="18"/>
        <v>1.1299999999999955</v>
      </c>
      <c r="M129" s="1">
        <v>22</v>
      </c>
      <c r="Q129" s="1">
        <f t="shared" si="17"/>
        <v>144.04000000000002</v>
      </c>
      <c r="R129" s="23">
        <f t="shared" si="16"/>
        <v>914.65400000000011</v>
      </c>
      <c r="S129" s="129">
        <v>915</v>
      </c>
      <c r="T129" s="16">
        <v>101.7</v>
      </c>
      <c r="V129" s="95">
        <v>15</v>
      </c>
      <c r="W129" s="12">
        <f>Q129-T129-V129</f>
        <v>27.340000000000018</v>
      </c>
    </row>
    <row r="130" spans="1:23" s="7" customFormat="1">
      <c r="A130" s="32"/>
      <c r="F130" s="32"/>
      <c r="H130" s="8"/>
      <c r="I130" s="13"/>
      <c r="J130" s="13">
        <f t="shared" si="15"/>
        <v>0</v>
      </c>
      <c r="K130" s="13">
        <f t="shared" si="18"/>
        <v>0</v>
      </c>
      <c r="L130" s="13"/>
      <c r="M130" s="8"/>
      <c r="N130" s="13"/>
      <c r="O130" s="8"/>
      <c r="P130" s="8"/>
      <c r="Q130" s="8">
        <f t="shared" si="17"/>
        <v>0</v>
      </c>
      <c r="R130" s="68">
        <f t="shared" si="16"/>
        <v>0</v>
      </c>
      <c r="S130" s="48"/>
      <c r="T130" s="40"/>
      <c r="U130" s="13"/>
      <c r="V130" s="96"/>
      <c r="W130" s="13"/>
    </row>
    <row r="131" spans="1:23">
      <c r="A131" s="77">
        <v>44</v>
      </c>
      <c r="B131" t="s">
        <v>317</v>
      </c>
      <c r="C131" s="4" t="s">
        <v>318</v>
      </c>
      <c r="D131" s="30" t="s">
        <v>320</v>
      </c>
      <c r="F131" s="144" t="s">
        <v>395</v>
      </c>
      <c r="G131" s="31" t="s">
        <v>303</v>
      </c>
      <c r="H131" s="1">
        <v>199</v>
      </c>
      <c r="I131" s="115">
        <f t="shared" si="14"/>
        <v>212.93</v>
      </c>
      <c r="J131" s="70">
        <f t="shared" si="15"/>
        <v>214.92000000000002</v>
      </c>
      <c r="K131" s="70">
        <f t="shared" si="18"/>
        <v>1.9900000000000091</v>
      </c>
      <c r="L131" s="12">
        <v>26</v>
      </c>
      <c r="O131" s="1">
        <v>23.65</v>
      </c>
      <c r="Q131" s="1">
        <f>SUM(L131,J131,M131,O131)</f>
        <v>264.57</v>
      </c>
      <c r="R131" s="23">
        <f t="shared" si="16"/>
        <v>1680.0194999999999</v>
      </c>
      <c r="S131" s="113">
        <v>1680</v>
      </c>
      <c r="T131" s="114">
        <v>212.93</v>
      </c>
      <c r="V131" s="95">
        <v>24</v>
      </c>
      <c r="W131" s="12">
        <f>Q131-T131-V131</f>
        <v>27.639999999999986</v>
      </c>
    </row>
    <row r="132" spans="1:23">
      <c r="C132" s="4" t="s">
        <v>319</v>
      </c>
      <c r="H132" s="1">
        <v>90</v>
      </c>
      <c r="I132" s="115">
        <f t="shared" si="14"/>
        <v>96.300000000000011</v>
      </c>
      <c r="J132" s="70">
        <f t="shared" si="15"/>
        <v>97.2</v>
      </c>
      <c r="K132" s="70">
        <f t="shared" si="18"/>
        <v>0.89999999999999147</v>
      </c>
      <c r="O132" s="1">
        <v>32</v>
      </c>
      <c r="Q132" s="1">
        <f t="shared" si="17"/>
        <v>129.19999999999999</v>
      </c>
      <c r="R132" s="23">
        <f t="shared" si="16"/>
        <v>820.41999999999985</v>
      </c>
      <c r="S132" s="113">
        <v>820</v>
      </c>
      <c r="T132" s="114">
        <v>96.3</v>
      </c>
      <c r="W132" s="12">
        <f>Q132-T132</f>
        <v>32.899999999999991</v>
      </c>
    </row>
    <row r="133" spans="1:23" s="7" customFormat="1">
      <c r="A133" s="32"/>
      <c r="F133" s="32"/>
      <c r="H133" s="8"/>
      <c r="I133" s="13"/>
      <c r="J133" s="13">
        <f t="shared" si="15"/>
        <v>0</v>
      </c>
      <c r="K133" s="13">
        <f t="shared" si="18"/>
        <v>0</v>
      </c>
      <c r="L133" s="13"/>
      <c r="M133" s="8"/>
      <c r="N133" s="13"/>
      <c r="O133" s="8"/>
      <c r="P133" s="8"/>
      <c r="Q133" s="8">
        <f t="shared" si="17"/>
        <v>0</v>
      </c>
      <c r="R133" s="68">
        <f t="shared" si="16"/>
        <v>0</v>
      </c>
      <c r="S133" s="48"/>
      <c r="T133" s="40"/>
      <c r="U133" s="13"/>
      <c r="V133" s="96"/>
      <c r="W133" s="13"/>
    </row>
    <row r="134" spans="1:23">
      <c r="A134" s="77">
        <v>45</v>
      </c>
      <c r="B134" t="s">
        <v>326</v>
      </c>
      <c r="C134" s="4" t="s">
        <v>327</v>
      </c>
      <c r="D134" t="s">
        <v>328</v>
      </c>
      <c r="F134" s="144" t="s">
        <v>396</v>
      </c>
      <c r="G134" t="s">
        <v>329</v>
      </c>
      <c r="H134" s="1">
        <v>124.5</v>
      </c>
      <c r="I134" s="118">
        <f t="shared" si="14"/>
        <v>133.215</v>
      </c>
      <c r="J134" s="70">
        <f t="shared" si="15"/>
        <v>134.46</v>
      </c>
      <c r="K134" s="70">
        <f t="shared" si="18"/>
        <v>1.2450000000000045</v>
      </c>
      <c r="L134" s="12">
        <v>26</v>
      </c>
      <c r="O134" s="1">
        <v>36.4</v>
      </c>
      <c r="Q134" s="1">
        <f>SUM(J134,L134,M134,O134)</f>
        <v>196.86</v>
      </c>
      <c r="R134" s="23">
        <f t="shared" si="16"/>
        <v>1250.0609999999999</v>
      </c>
      <c r="S134" s="116">
        <v>1250</v>
      </c>
      <c r="T134" s="16">
        <v>133.215</v>
      </c>
      <c r="V134" s="95">
        <v>15</v>
      </c>
      <c r="W134" s="12">
        <f>Q134-T134-V134</f>
        <v>48.64500000000001</v>
      </c>
    </row>
    <row r="135" spans="1:23" s="7" customFormat="1">
      <c r="A135" s="32"/>
      <c r="F135" s="32"/>
      <c r="H135" s="8"/>
      <c r="I135" s="13"/>
      <c r="J135" s="13">
        <f t="shared" si="15"/>
        <v>0</v>
      </c>
      <c r="K135" s="13">
        <f t="shared" si="18"/>
        <v>0</v>
      </c>
      <c r="L135" s="13"/>
      <c r="M135" s="8"/>
      <c r="N135" s="13"/>
      <c r="O135" s="8"/>
      <c r="P135" s="8"/>
      <c r="Q135" s="8">
        <f t="shared" si="17"/>
        <v>0</v>
      </c>
      <c r="R135" s="68">
        <f t="shared" si="16"/>
        <v>0</v>
      </c>
      <c r="S135" s="48"/>
      <c r="T135" s="40"/>
      <c r="U135" s="13"/>
      <c r="V135" s="96"/>
      <c r="W135" s="13"/>
    </row>
    <row r="136" spans="1:23">
      <c r="A136" s="77">
        <v>46</v>
      </c>
      <c r="B136" t="s">
        <v>326</v>
      </c>
      <c r="C136" s="4" t="s">
        <v>341</v>
      </c>
      <c r="D136" t="s">
        <v>330</v>
      </c>
      <c r="F136" s="144" t="s">
        <v>397</v>
      </c>
      <c r="G136" t="s">
        <v>336</v>
      </c>
      <c r="H136" s="1">
        <v>114</v>
      </c>
      <c r="I136" s="118">
        <f t="shared" si="14"/>
        <v>121.98</v>
      </c>
      <c r="J136" s="70">
        <f t="shared" ref="J136:J194" si="24">H136*1.08</f>
        <v>123.12</v>
      </c>
      <c r="K136" s="70">
        <f t="shared" si="18"/>
        <v>1.1400000000000006</v>
      </c>
      <c r="O136" s="1">
        <v>37.51</v>
      </c>
      <c r="Q136" s="1">
        <f t="shared" si="17"/>
        <v>160.63</v>
      </c>
      <c r="R136" s="23">
        <f t="shared" ref="R136:R202" si="25">Q136*6.35</f>
        <v>1020.0004999999999</v>
      </c>
      <c r="S136" s="135">
        <v>1020</v>
      </c>
      <c r="T136" s="16">
        <v>121.98</v>
      </c>
      <c r="U136" s="127" t="s">
        <v>363</v>
      </c>
      <c r="V136" s="232">
        <v>36</v>
      </c>
      <c r="W136" s="12">
        <f>Q136-T136+40-36</f>
        <v>42.649999999999991</v>
      </c>
    </row>
    <row r="137" spans="1:23">
      <c r="A137" s="77">
        <v>47</v>
      </c>
      <c r="C137" s="4" t="s">
        <v>342</v>
      </c>
      <c r="D137" t="s">
        <v>331</v>
      </c>
      <c r="H137" s="1">
        <v>106</v>
      </c>
      <c r="I137" s="118">
        <f t="shared" si="14"/>
        <v>113.42</v>
      </c>
      <c r="J137" s="70">
        <f t="shared" si="24"/>
        <v>114.48</v>
      </c>
      <c r="K137" s="70">
        <f t="shared" si="18"/>
        <v>1.0600000000000023</v>
      </c>
      <c r="Q137" s="1">
        <f t="shared" si="17"/>
        <v>114.48</v>
      </c>
      <c r="R137" s="23">
        <f t="shared" si="25"/>
        <v>726.94799999999998</v>
      </c>
      <c r="S137" s="135">
        <v>725</v>
      </c>
      <c r="T137" s="16">
        <v>113.42</v>
      </c>
      <c r="U137" s="117" t="s">
        <v>334</v>
      </c>
      <c r="V137" s="232"/>
      <c r="W137" s="12">
        <f>Q137-T137+50</f>
        <v>51.06</v>
      </c>
    </row>
    <row r="138" spans="1:23" s="122" customFormat="1">
      <c r="A138" s="147">
        <v>48</v>
      </c>
      <c r="B138" s="122" t="s">
        <v>338</v>
      </c>
      <c r="C138" s="122" t="s">
        <v>343</v>
      </c>
      <c r="D138" s="264" t="s">
        <v>337</v>
      </c>
      <c r="F138" s="121"/>
      <c r="H138" s="123">
        <f>30.98*4</f>
        <v>123.92</v>
      </c>
      <c r="I138" s="124">
        <f t="shared" ref="I138:I204" si="26">H138*1.07</f>
        <v>132.59440000000001</v>
      </c>
      <c r="J138" s="124">
        <f t="shared" si="24"/>
        <v>133.83360000000002</v>
      </c>
      <c r="K138" s="124">
        <f t="shared" si="18"/>
        <v>1.239200000000011</v>
      </c>
      <c r="L138" s="124"/>
      <c r="M138" s="123"/>
      <c r="N138" s="124"/>
      <c r="O138" s="123"/>
      <c r="P138" s="123"/>
      <c r="Q138" s="123">
        <f t="shared" si="17"/>
        <v>133.83360000000002</v>
      </c>
      <c r="R138" s="125">
        <f t="shared" si="25"/>
        <v>849.84336000000008</v>
      </c>
      <c r="S138" s="137">
        <v>850</v>
      </c>
      <c r="T138" s="265">
        <v>168.43</v>
      </c>
      <c r="U138" s="266" t="s">
        <v>333</v>
      </c>
      <c r="V138" s="232"/>
      <c r="W138" s="266">
        <f>SUM(Q138:Q139)-T138+20</f>
        <v>56.01400000000001</v>
      </c>
    </row>
    <row r="139" spans="1:23">
      <c r="C139" s="4" t="s">
        <v>344</v>
      </c>
      <c r="D139" s="264"/>
      <c r="H139" s="1">
        <f>32.69*2</f>
        <v>65.38</v>
      </c>
      <c r="I139" s="118">
        <f t="shared" si="26"/>
        <v>69.956599999999995</v>
      </c>
      <c r="J139" s="70">
        <f t="shared" si="24"/>
        <v>70.610399999999998</v>
      </c>
      <c r="K139" s="70">
        <f t="shared" si="18"/>
        <v>0.65380000000000393</v>
      </c>
      <c r="Q139" s="1">
        <f t="shared" si="17"/>
        <v>70.610399999999998</v>
      </c>
      <c r="R139" s="23">
        <f t="shared" si="25"/>
        <v>448.37603999999999</v>
      </c>
      <c r="S139" s="135">
        <v>450</v>
      </c>
      <c r="T139" s="265"/>
      <c r="U139" s="266"/>
      <c r="V139" s="232"/>
      <c r="W139" s="266"/>
    </row>
    <row r="140" spans="1:23" s="7" customFormat="1">
      <c r="A140" s="32"/>
      <c r="F140" s="32"/>
      <c r="H140" s="8"/>
      <c r="I140" s="13">
        <f t="shared" si="26"/>
        <v>0</v>
      </c>
      <c r="J140" s="13">
        <f t="shared" si="24"/>
        <v>0</v>
      </c>
      <c r="K140" s="13">
        <f t="shared" si="18"/>
        <v>0</v>
      </c>
      <c r="L140" s="13"/>
      <c r="M140" s="8"/>
      <c r="N140" s="13"/>
      <c r="O140" s="8"/>
      <c r="P140" s="8"/>
      <c r="Q140" s="8">
        <f t="shared" ref="Q140:Q204" si="27">SUM(J140,M140,O140)</f>
        <v>0</v>
      </c>
      <c r="R140" s="68">
        <f t="shared" si="25"/>
        <v>0</v>
      </c>
      <c r="S140" s="48"/>
      <c r="T140" s="40"/>
      <c r="U140" s="13"/>
      <c r="V140" s="96"/>
      <c r="W140" s="13"/>
    </row>
    <row r="141" spans="1:23">
      <c r="A141" s="77">
        <v>49</v>
      </c>
      <c r="B141" t="s">
        <v>338</v>
      </c>
      <c r="C141" s="4" t="s">
        <v>339</v>
      </c>
      <c r="D141" t="s">
        <v>417</v>
      </c>
      <c r="F141" s="157" t="s">
        <v>406</v>
      </c>
      <c r="G141" t="s">
        <v>209</v>
      </c>
      <c r="H141" s="1">
        <v>185.8</v>
      </c>
      <c r="I141" s="118">
        <f t="shared" si="26"/>
        <v>198.80600000000001</v>
      </c>
      <c r="J141" s="70">
        <f t="shared" si="24"/>
        <v>200.66400000000002</v>
      </c>
      <c r="K141" s="70">
        <f t="shared" si="18"/>
        <v>1.8580000000000041</v>
      </c>
      <c r="O141" s="1">
        <v>20</v>
      </c>
      <c r="Q141" s="1">
        <f t="shared" si="27"/>
        <v>220.66400000000002</v>
      </c>
      <c r="R141" s="23">
        <f t="shared" si="25"/>
        <v>1401.2164</v>
      </c>
      <c r="S141" s="120">
        <v>1400</v>
      </c>
      <c r="T141" s="16">
        <v>185.8</v>
      </c>
      <c r="V141" s="232">
        <v>30</v>
      </c>
      <c r="W141" s="12">
        <f>Q141-T141</f>
        <v>34.864000000000004</v>
      </c>
    </row>
    <row r="142" spans="1:23">
      <c r="A142" s="77">
        <v>50</v>
      </c>
      <c r="B142" t="s">
        <v>350</v>
      </c>
      <c r="C142" t="s">
        <v>351</v>
      </c>
      <c r="D142" s="30">
        <v>20049506688</v>
      </c>
      <c r="H142" s="1">
        <v>99.95</v>
      </c>
      <c r="I142" s="118">
        <f t="shared" si="26"/>
        <v>106.94650000000001</v>
      </c>
      <c r="J142" s="70">
        <f t="shared" si="24"/>
        <v>107.94600000000001</v>
      </c>
      <c r="K142" s="70">
        <f t="shared" si="18"/>
        <v>0.99949999999999761</v>
      </c>
      <c r="O142" s="1">
        <v>11</v>
      </c>
      <c r="Q142" s="1">
        <f t="shared" si="27"/>
        <v>118.94600000000001</v>
      </c>
      <c r="R142" s="23">
        <f t="shared" si="25"/>
        <v>755.30709999999999</v>
      </c>
      <c r="S142" s="129">
        <v>755</v>
      </c>
      <c r="T142" s="247">
        <v>109.9</v>
      </c>
      <c r="U142" s="140" t="s">
        <v>369</v>
      </c>
      <c r="V142" s="232"/>
      <c r="W142" s="248">
        <f>Q142+Q143-T142</f>
        <v>116.19200000000004</v>
      </c>
    </row>
    <row r="143" spans="1:23">
      <c r="A143" s="131"/>
      <c r="C143" t="s">
        <v>352</v>
      </c>
      <c r="F143" s="156" t="s">
        <v>407</v>
      </c>
      <c r="H143" s="1">
        <v>89.95</v>
      </c>
      <c r="I143" s="133">
        <f t="shared" ref="I143:I144" si="28">H143*1.07</f>
        <v>96.246500000000012</v>
      </c>
      <c r="J143" s="130">
        <f t="shared" ref="J143:J144" si="29">H143*1.08</f>
        <v>97.146000000000015</v>
      </c>
      <c r="K143" s="130">
        <f t="shared" ref="K143:K144" si="30">J143-I143</f>
        <v>0.8995000000000033</v>
      </c>
      <c r="L143" s="130"/>
      <c r="N143" s="130"/>
      <c r="O143" s="1">
        <v>10</v>
      </c>
      <c r="Q143" s="1">
        <f t="shared" ref="Q143:Q144" si="31">SUM(J143,M143,O143)</f>
        <v>107.14600000000002</v>
      </c>
      <c r="R143" s="23">
        <f t="shared" ref="R143:R144" si="32">Q143*6.35</f>
        <v>680.37710000000004</v>
      </c>
      <c r="S143" s="129">
        <v>680</v>
      </c>
      <c r="T143" s="247"/>
      <c r="U143" s="130"/>
      <c r="V143" s="232"/>
      <c r="W143" s="248"/>
    </row>
    <row r="144" spans="1:23">
      <c r="A144" s="131"/>
      <c r="C144" t="s">
        <v>358</v>
      </c>
      <c r="D144" s="30">
        <v>20049507110</v>
      </c>
      <c r="F144" s="156" t="s">
        <v>408</v>
      </c>
      <c r="H144" s="1">
        <v>140</v>
      </c>
      <c r="I144" s="133">
        <f t="shared" si="28"/>
        <v>149.80000000000001</v>
      </c>
      <c r="J144" s="130">
        <f t="shared" si="29"/>
        <v>151.20000000000002</v>
      </c>
      <c r="K144" s="130">
        <f t="shared" si="30"/>
        <v>1.4000000000000057</v>
      </c>
      <c r="L144" s="130"/>
      <c r="N144" s="130"/>
      <c r="O144" s="1">
        <v>15</v>
      </c>
      <c r="Q144" s="1">
        <f t="shared" si="31"/>
        <v>166.20000000000002</v>
      </c>
      <c r="R144" s="23">
        <f t="shared" si="32"/>
        <v>1055.3700000000001</v>
      </c>
      <c r="S144" s="129">
        <v>1055</v>
      </c>
      <c r="T144" s="132">
        <v>74.25</v>
      </c>
      <c r="U144" s="130"/>
      <c r="V144" s="141">
        <f>17.5+25</f>
        <v>42.5</v>
      </c>
      <c r="W144" s="130">
        <f>Q144-T144</f>
        <v>91.950000000000017</v>
      </c>
    </row>
    <row r="145" spans="1:23" s="7" customFormat="1">
      <c r="A145" s="32"/>
      <c r="F145" s="32"/>
      <c r="H145" s="8"/>
      <c r="I145" s="13">
        <f t="shared" si="26"/>
        <v>0</v>
      </c>
      <c r="J145" s="13">
        <f t="shared" si="24"/>
        <v>0</v>
      </c>
      <c r="K145" s="13">
        <f t="shared" si="18"/>
        <v>0</v>
      </c>
      <c r="L145" s="13"/>
      <c r="M145" s="8"/>
      <c r="N145" s="13"/>
      <c r="O145" s="8"/>
      <c r="P145" s="8"/>
      <c r="Q145" s="8">
        <f t="shared" si="27"/>
        <v>0</v>
      </c>
      <c r="R145" s="68">
        <f t="shared" si="25"/>
        <v>0</v>
      </c>
      <c r="S145" s="48"/>
      <c r="T145" s="40"/>
      <c r="U145" s="13"/>
      <c r="V145" s="96"/>
      <c r="W145" s="13"/>
    </row>
    <row r="146" spans="1:23">
      <c r="A146" s="77">
        <v>51</v>
      </c>
      <c r="B146" t="s">
        <v>355</v>
      </c>
      <c r="C146" t="s">
        <v>356</v>
      </c>
      <c r="D146" t="s">
        <v>357</v>
      </c>
      <c r="F146" s="156" t="s">
        <v>415</v>
      </c>
      <c r="G146" t="s">
        <v>354</v>
      </c>
      <c r="H146" s="1">
        <f>12.99*6</f>
        <v>77.94</v>
      </c>
      <c r="I146" s="118">
        <f t="shared" si="26"/>
        <v>83.395800000000008</v>
      </c>
      <c r="J146" s="70">
        <f t="shared" si="24"/>
        <v>84.175200000000004</v>
      </c>
      <c r="K146" s="70">
        <f t="shared" si="18"/>
        <v>0.77939999999999543</v>
      </c>
      <c r="L146" s="12">
        <v>36</v>
      </c>
      <c r="M146" s="1">
        <v>3.99</v>
      </c>
      <c r="O146" s="1">
        <v>10.5</v>
      </c>
      <c r="Q146" s="1">
        <f>SUM(L146,J146,M146,O146)</f>
        <v>134.6652</v>
      </c>
      <c r="R146" s="23">
        <f t="shared" si="25"/>
        <v>855.12401999999997</v>
      </c>
      <c r="S146" s="129">
        <v>855</v>
      </c>
      <c r="T146" s="16">
        <v>42.96</v>
      </c>
      <c r="V146" s="95">
        <v>20</v>
      </c>
      <c r="W146" s="12">
        <f>Q146-T146-V146</f>
        <v>71.705199999999991</v>
      </c>
    </row>
    <row r="147" spans="1:23" s="7" customFormat="1">
      <c r="A147" s="32"/>
      <c r="F147" s="32"/>
      <c r="H147" s="8"/>
      <c r="I147" s="13">
        <f t="shared" si="26"/>
        <v>0</v>
      </c>
      <c r="J147" s="13">
        <f t="shared" si="24"/>
        <v>0</v>
      </c>
      <c r="K147" s="13">
        <f t="shared" si="18"/>
        <v>0</v>
      </c>
      <c r="L147" s="13"/>
      <c r="M147" s="8"/>
      <c r="N147" s="13"/>
      <c r="O147" s="8"/>
      <c r="P147" s="8"/>
      <c r="Q147" s="8">
        <f t="shared" si="27"/>
        <v>0</v>
      </c>
      <c r="R147" s="68">
        <f t="shared" si="25"/>
        <v>0</v>
      </c>
      <c r="S147" s="48"/>
      <c r="T147" s="40"/>
      <c r="U147" s="13"/>
      <c r="V147" s="96"/>
      <c r="W147" s="13"/>
    </row>
    <row r="148" spans="1:23">
      <c r="A148" s="77">
        <v>52</v>
      </c>
      <c r="B148" t="s">
        <v>360</v>
      </c>
      <c r="C148" t="s">
        <v>361</v>
      </c>
      <c r="D148" t="s">
        <v>362</v>
      </c>
      <c r="F148" s="157" t="s">
        <v>411</v>
      </c>
      <c r="G148" t="s">
        <v>409</v>
      </c>
      <c r="H148" s="1">
        <v>129</v>
      </c>
      <c r="I148" s="118">
        <f>H148*1.07</f>
        <v>138.03</v>
      </c>
      <c r="J148" s="70">
        <f t="shared" si="24"/>
        <v>139.32000000000002</v>
      </c>
      <c r="K148" s="70">
        <f t="shared" si="18"/>
        <v>1.2900000000000205</v>
      </c>
      <c r="L148" s="12">
        <v>20</v>
      </c>
      <c r="M148" s="1">
        <v>10</v>
      </c>
      <c r="O148" s="1">
        <v>18.100000000000001</v>
      </c>
      <c r="Q148" s="1">
        <f>SUM(L148,J148,M148,O148)</f>
        <v>187.42000000000002</v>
      </c>
      <c r="R148" s="23">
        <f t="shared" si="25"/>
        <v>1190.117</v>
      </c>
      <c r="S148" s="136">
        <v>1190</v>
      </c>
      <c r="T148" s="16">
        <v>148.72999999999999</v>
      </c>
      <c r="V148" s="232">
        <v>27</v>
      </c>
      <c r="W148" s="248">
        <f>Q148+Q149-T148-T149-V148</f>
        <v>53.680000000000064</v>
      </c>
    </row>
    <row r="149" spans="1:23">
      <c r="C149" s="4" t="s">
        <v>365</v>
      </c>
      <c r="D149" t="s">
        <v>366</v>
      </c>
      <c r="H149" s="1">
        <v>149.5</v>
      </c>
      <c r="I149" s="118">
        <f t="shared" si="26"/>
        <v>159.965</v>
      </c>
      <c r="J149" s="70">
        <f t="shared" si="24"/>
        <v>161.46</v>
      </c>
      <c r="K149" s="70">
        <f t="shared" si="18"/>
        <v>1.4950000000000045</v>
      </c>
      <c r="L149" s="12">
        <v>20</v>
      </c>
      <c r="M149" s="1">
        <v>10</v>
      </c>
      <c r="O149" s="1">
        <v>21.2</v>
      </c>
      <c r="Q149" s="1">
        <f>SUM(L149,J149,M149,O149)</f>
        <v>212.66</v>
      </c>
      <c r="R149" s="23">
        <f t="shared" si="25"/>
        <v>1350.3909999999998</v>
      </c>
      <c r="S149" s="138">
        <v>1350</v>
      </c>
      <c r="T149" s="16">
        <v>170.67</v>
      </c>
      <c r="V149" s="232"/>
      <c r="W149" s="248"/>
    </row>
    <row r="150" spans="1:23" s="7" customFormat="1">
      <c r="A150" s="32"/>
      <c r="F150" s="32"/>
      <c r="H150" s="8"/>
      <c r="I150" s="13">
        <f t="shared" si="26"/>
        <v>0</v>
      </c>
      <c r="J150" s="13">
        <f t="shared" si="24"/>
        <v>0</v>
      </c>
      <c r="K150" s="13">
        <f t="shared" si="18"/>
        <v>0</v>
      </c>
      <c r="L150" s="13"/>
      <c r="M150" s="8"/>
      <c r="N150" s="13"/>
      <c r="O150" s="8"/>
      <c r="P150" s="8"/>
      <c r="Q150" s="8">
        <f t="shared" si="27"/>
        <v>0</v>
      </c>
      <c r="R150" s="68">
        <f t="shared" si="25"/>
        <v>0</v>
      </c>
      <c r="S150" s="48"/>
      <c r="T150" s="40"/>
      <c r="U150" s="13"/>
      <c r="V150" s="96"/>
      <c r="W150" s="13"/>
    </row>
    <row r="151" spans="1:23">
      <c r="A151" s="77">
        <v>53</v>
      </c>
      <c r="B151" t="s">
        <v>374</v>
      </c>
      <c r="C151" s="4" t="s">
        <v>375</v>
      </c>
      <c r="D151" t="s">
        <v>376</v>
      </c>
      <c r="F151" s="164" t="s">
        <v>424</v>
      </c>
      <c r="G151" t="s">
        <v>400</v>
      </c>
      <c r="H151" s="1">
        <v>49.5</v>
      </c>
      <c r="I151" s="118">
        <f t="shared" si="26"/>
        <v>52.965000000000003</v>
      </c>
      <c r="J151" s="70">
        <f t="shared" si="24"/>
        <v>53.46</v>
      </c>
      <c r="K151" s="70">
        <f t="shared" si="18"/>
        <v>0.49499999999999744</v>
      </c>
      <c r="M151" s="1">
        <v>10</v>
      </c>
      <c r="O151" s="1">
        <v>6.65</v>
      </c>
      <c r="Q151" s="1">
        <f t="shared" si="27"/>
        <v>70.11</v>
      </c>
      <c r="R151" s="23">
        <f t="shared" si="25"/>
        <v>445.19849999999997</v>
      </c>
      <c r="S151" s="143">
        <v>445</v>
      </c>
      <c r="T151" s="247">
        <v>182.01</v>
      </c>
      <c r="V151" s="232">
        <v>20</v>
      </c>
      <c r="W151" s="248">
        <f>Q151+Q152-T151-V151</f>
        <v>71.31</v>
      </c>
    </row>
    <row r="152" spans="1:23">
      <c r="C152" s="4" t="s">
        <v>377</v>
      </c>
      <c r="H152" s="1">
        <v>139.5</v>
      </c>
      <c r="I152" s="118">
        <f t="shared" si="26"/>
        <v>149.26500000000001</v>
      </c>
      <c r="J152" s="70">
        <f t="shared" si="24"/>
        <v>150.66</v>
      </c>
      <c r="K152" s="70">
        <f t="shared" si="18"/>
        <v>1.3949999999999818</v>
      </c>
      <c r="M152" s="1">
        <v>30</v>
      </c>
      <c r="O152" s="1">
        <v>22.55</v>
      </c>
      <c r="Q152" s="1">
        <f t="shared" si="27"/>
        <v>203.21</v>
      </c>
      <c r="R152" s="23">
        <f t="shared" si="25"/>
        <v>1290.3834999999999</v>
      </c>
      <c r="S152" s="143">
        <v>1290</v>
      </c>
      <c r="T152" s="247"/>
      <c r="U152" s="142" t="s">
        <v>378</v>
      </c>
      <c r="V152" s="232"/>
      <c r="W152" s="248"/>
    </row>
    <row r="153" spans="1:23" s="7" customFormat="1">
      <c r="A153" s="32"/>
      <c r="F153" s="32"/>
      <c r="H153" s="8"/>
      <c r="I153" s="13">
        <f t="shared" si="26"/>
        <v>0</v>
      </c>
      <c r="J153" s="13">
        <f t="shared" si="24"/>
        <v>0</v>
      </c>
      <c r="K153" s="13">
        <f t="shared" si="18"/>
        <v>0</v>
      </c>
      <c r="L153" s="13"/>
      <c r="M153" s="8"/>
      <c r="N153" s="13"/>
      <c r="O153" s="8"/>
      <c r="P153" s="8"/>
      <c r="Q153" s="8">
        <f t="shared" si="27"/>
        <v>0</v>
      </c>
      <c r="R153" s="68">
        <f t="shared" si="25"/>
        <v>0</v>
      </c>
      <c r="S153" s="48"/>
      <c r="T153" s="40"/>
      <c r="U153" s="13"/>
      <c r="V153" s="96"/>
      <c r="W153" s="13"/>
    </row>
    <row r="154" spans="1:23">
      <c r="A154" s="77">
        <v>54</v>
      </c>
      <c r="B154" t="s">
        <v>379</v>
      </c>
      <c r="C154" s="4" t="s">
        <v>380</v>
      </c>
      <c r="D154">
        <v>20051195189</v>
      </c>
      <c r="G154" t="s">
        <v>449</v>
      </c>
      <c r="H154" s="1">
        <v>200</v>
      </c>
      <c r="I154" s="118">
        <f t="shared" si="26"/>
        <v>214</v>
      </c>
      <c r="J154" s="70">
        <f t="shared" si="24"/>
        <v>216</v>
      </c>
      <c r="K154" s="70">
        <f t="shared" si="18"/>
        <v>2</v>
      </c>
      <c r="Q154" s="1">
        <f t="shared" si="27"/>
        <v>216</v>
      </c>
      <c r="R154" s="23">
        <f t="shared" si="25"/>
        <v>1371.6</v>
      </c>
      <c r="S154" s="169">
        <v>1370</v>
      </c>
      <c r="T154" s="16">
        <v>162</v>
      </c>
      <c r="U154" s="167" t="s">
        <v>448</v>
      </c>
      <c r="W154" s="12">
        <f>Q154-T154</f>
        <v>54</v>
      </c>
    </row>
    <row r="155" spans="1:23" s="7" customFormat="1">
      <c r="A155" s="32"/>
      <c r="F155" s="32"/>
      <c r="H155" s="8"/>
      <c r="I155" s="13">
        <f t="shared" si="26"/>
        <v>0</v>
      </c>
      <c r="J155" s="13">
        <f t="shared" si="24"/>
        <v>0</v>
      </c>
      <c r="K155" s="13">
        <f t="shared" si="18"/>
        <v>0</v>
      </c>
      <c r="L155" s="13"/>
      <c r="M155" s="8"/>
      <c r="N155" s="13"/>
      <c r="O155" s="8"/>
      <c r="P155" s="8"/>
      <c r="Q155" s="8">
        <f t="shared" si="27"/>
        <v>0</v>
      </c>
      <c r="R155" s="68">
        <f t="shared" si="25"/>
        <v>0</v>
      </c>
      <c r="S155" s="48"/>
      <c r="T155" s="40"/>
      <c r="U155" s="13"/>
      <c r="V155" s="96"/>
      <c r="W155" s="13"/>
    </row>
    <row r="156" spans="1:23">
      <c r="A156" s="77">
        <v>55</v>
      </c>
      <c r="B156" t="s">
        <v>382</v>
      </c>
      <c r="C156" s="4" t="s">
        <v>386</v>
      </c>
      <c r="D156" t="s">
        <v>384</v>
      </c>
      <c r="H156" s="1">
        <v>117.5</v>
      </c>
      <c r="I156" s="118">
        <f t="shared" si="26"/>
        <v>125.72500000000001</v>
      </c>
      <c r="J156" s="70">
        <f t="shared" si="24"/>
        <v>126.9</v>
      </c>
      <c r="K156" s="70">
        <f t="shared" si="18"/>
        <v>1.1749999999999972</v>
      </c>
      <c r="Q156" s="1">
        <f t="shared" si="27"/>
        <v>126.9</v>
      </c>
      <c r="R156" s="23">
        <f t="shared" si="25"/>
        <v>805.81499999999994</v>
      </c>
      <c r="S156" s="267">
        <v>395</v>
      </c>
      <c r="T156" s="247">
        <v>315.27999999999997</v>
      </c>
      <c r="W156" s="248">
        <f>S156-T156+5</f>
        <v>84.720000000000027</v>
      </c>
    </row>
    <row r="157" spans="1:23">
      <c r="C157" s="4" t="s">
        <v>387</v>
      </c>
      <c r="D157" t="s">
        <v>388</v>
      </c>
      <c r="H157" s="1">
        <v>135</v>
      </c>
      <c r="I157" s="118">
        <f t="shared" si="26"/>
        <v>144.45000000000002</v>
      </c>
      <c r="J157" s="70">
        <f t="shared" si="24"/>
        <v>145.80000000000001</v>
      </c>
      <c r="K157" s="70">
        <f t="shared" si="18"/>
        <v>1.3499999999999943</v>
      </c>
      <c r="Q157" s="1">
        <f t="shared" si="27"/>
        <v>145.80000000000001</v>
      </c>
      <c r="R157" s="23">
        <f t="shared" si="25"/>
        <v>925.83</v>
      </c>
      <c r="S157" s="267"/>
      <c r="T157" s="247"/>
      <c r="W157" s="248"/>
    </row>
    <row r="158" spans="1:23">
      <c r="C158" s="4" t="s">
        <v>385</v>
      </c>
      <c r="H158" s="1">
        <v>114</v>
      </c>
      <c r="I158" s="118">
        <f t="shared" si="26"/>
        <v>121.98</v>
      </c>
      <c r="J158" s="70">
        <f t="shared" si="24"/>
        <v>123.12</v>
      </c>
      <c r="K158" s="70">
        <f t="shared" si="18"/>
        <v>1.1400000000000006</v>
      </c>
      <c r="Q158" s="1">
        <f t="shared" si="27"/>
        <v>123.12</v>
      </c>
      <c r="R158" s="23">
        <f t="shared" si="25"/>
        <v>781.81200000000001</v>
      </c>
      <c r="S158" s="267"/>
      <c r="T158" s="247"/>
      <c r="W158" s="248"/>
    </row>
    <row r="159" spans="1:23">
      <c r="A159" s="151"/>
      <c r="C159" s="4" t="s">
        <v>402</v>
      </c>
      <c r="F159" s="151"/>
      <c r="H159" s="1">
        <v>239</v>
      </c>
      <c r="I159" s="152">
        <f t="shared" ref="I159:I160" si="33">H159*1.07</f>
        <v>255.73000000000002</v>
      </c>
      <c r="J159" s="149">
        <f t="shared" ref="J159:J160" si="34">H159*1.08</f>
        <v>258.12</v>
      </c>
      <c r="K159" s="149">
        <f t="shared" ref="K159:K160" si="35">J159-I159</f>
        <v>2.3899999999999864</v>
      </c>
      <c r="L159" s="149"/>
      <c r="N159" s="149"/>
      <c r="Q159" s="1">
        <f t="shared" ref="Q159:Q160" si="36">SUM(J159,M159,O159)</f>
        <v>258.12</v>
      </c>
      <c r="R159" s="23">
        <f t="shared" ref="R159:R160" si="37">Q159*6.35</f>
        <v>1639.0619999999999</v>
      </c>
      <c r="S159" s="267">
        <v>360</v>
      </c>
      <c r="T159" s="247">
        <v>283.93</v>
      </c>
      <c r="U159" s="153" t="s">
        <v>405</v>
      </c>
      <c r="V159" s="150"/>
      <c r="W159" s="248">
        <f>S159-T159</f>
        <v>76.069999999999993</v>
      </c>
    </row>
    <row r="160" spans="1:23">
      <c r="A160" s="151"/>
      <c r="C160" s="4" t="s">
        <v>403</v>
      </c>
      <c r="F160" s="151"/>
      <c r="H160" s="1">
        <v>94.995000000000005</v>
      </c>
      <c r="I160" s="152">
        <f t="shared" si="33"/>
        <v>101.64465000000001</v>
      </c>
      <c r="J160" s="149">
        <f t="shared" si="34"/>
        <v>102.59460000000001</v>
      </c>
      <c r="K160" s="149">
        <f t="shared" si="35"/>
        <v>0.94995000000000118</v>
      </c>
      <c r="L160" s="149"/>
      <c r="N160" s="149"/>
      <c r="Q160" s="1">
        <f t="shared" si="36"/>
        <v>102.59460000000001</v>
      </c>
      <c r="R160" s="23">
        <f t="shared" si="37"/>
        <v>651.47571000000005</v>
      </c>
      <c r="S160" s="267"/>
      <c r="T160" s="247"/>
      <c r="U160" s="149"/>
      <c r="V160" s="150"/>
      <c r="W160" s="248"/>
    </row>
    <row r="161" spans="1:23" s="7" customFormat="1">
      <c r="A161" s="32"/>
      <c r="F161" s="32"/>
      <c r="H161" s="8"/>
      <c r="I161" s="13">
        <f t="shared" si="26"/>
        <v>0</v>
      </c>
      <c r="J161" s="13">
        <f t="shared" si="24"/>
        <v>0</v>
      </c>
      <c r="K161" s="13">
        <f t="shared" si="18"/>
        <v>0</v>
      </c>
      <c r="L161" s="13"/>
      <c r="M161" s="8"/>
      <c r="N161" s="13"/>
      <c r="O161" s="8"/>
      <c r="P161" s="8"/>
      <c r="Q161" s="8">
        <f t="shared" si="27"/>
        <v>0</v>
      </c>
      <c r="R161" s="68">
        <f t="shared" si="25"/>
        <v>0</v>
      </c>
      <c r="S161" s="48"/>
      <c r="T161" s="40"/>
      <c r="U161" s="13"/>
      <c r="V161" s="96"/>
      <c r="W161" s="13"/>
    </row>
    <row r="162" spans="1:23">
      <c r="A162" s="77">
        <v>56</v>
      </c>
      <c r="B162" t="s">
        <v>404</v>
      </c>
      <c r="C162" s="4" t="s">
        <v>457</v>
      </c>
      <c r="D162" t="s">
        <v>436</v>
      </c>
      <c r="F162" s="179" t="s">
        <v>519</v>
      </c>
      <c r="G162" s="31" t="s">
        <v>459</v>
      </c>
      <c r="H162" s="1">
        <v>167.3</v>
      </c>
      <c r="I162" s="118">
        <f t="shared" si="26"/>
        <v>179.01100000000002</v>
      </c>
      <c r="J162" s="70">
        <f>H162*1.0825</f>
        <v>181.10225000000003</v>
      </c>
      <c r="K162" s="70">
        <f t="shared" si="18"/>
        <v>2.0912500000000023</v>
      </c>
      <c r="M162" s="1">
        <v>35</v>
      </c>
      <c r="O162" s="1">
        <v>32.700000000000003</v>
      </c>
      <c r="Q162" s="1">
        <f>SUM(J162,M162,O162)</f>
        <v>248.80225000000002</v>
      </c>
      <c r="R162" s="23">
        <f t="shared" si="25"/>
        <v>1579.8942875</v>
      </c>
      <c r="S162" s="155">
        <v>1580</v>
      </c>
      <c r="T162" s="16">
        <f>181.1-77.45</f>
        <v>103.64999999999999</v>
      </c>
      <c r="U162" s="154" t="s">
        <v>412</v>
      </c>
      <c r="V162" s="232">
        <f>17.33-2+33</f>
        <v>48.33</v>
      </c>
      <c r="W162" s="248">
        <f>SUM(Q162:Q164)-SUM(T162:T164)-V162</f>
        <v>156.90224999999998</v>
      </c>
    </row>
    <row r="163" spans="1:23" ht="28.2">
      <c r="A163" s="170"/>
      <c r="B163" t="s">
        <v>444</v>
      </c>
      <c r="C163" s="4" t="s">
        <v>445</v>
      </c>
      <c r="D163" t="s">
        <v>447</v>
      </c>
      <c r="F163" s="170"/>
      <c r="H163" s="1">
        <v>134.5</v>
      </c>
      <c r="I163" s="172">
        <f t="shared" ref="I163:I164" si="38">H163*1.07</f>
        <v>143.91500000000002</v>
      </c>
      <c r="J163" s="167">
        <f t="shared" ref="J163:J164" si="39">H163*1.08</f>
        <v>145.26000000000002</v>
      </c>
      <c r="K163" s="167">
        <f t="shared" si="18"/>
        <v>1.3449999999999989</v>
      </c>
      <c r="L163" s="167"/>
      <c r="M163" s="1">
        <v>20</v>
      </c>
      <c r="N163" s="167"/>
      <c r="O163" s="1">
        <v>14.3</v>
      </c>
      <c r="Q163" s="1">
        <f t="shared" ref="Q163:Q164" si="40">SUM(J163,M163,O163)</f>
        <v>179.56000000000003</v>
      </c>
      <c r="R163" s="23">
        <f t="shared" ref="R163:R164" si="41">Q163*6.35</f>
        <v>1140.2060000000001</v>
      </c>
      <c r="S163" s="169">
        <v>1140</v>
      </c>
      <c r="T163" s="69">
        <v>143.91999999999999</v>
      </c>
      <c r="U163" s="171" t="s">
        <v>456</v>
      </c>
      <c r="V163" s="232"/>
      <c r="W163" s="248"/>
    </row>
    <row r="164" spans="1:23">
      <c r="A164" s="170"/>
      <c r="C164" s="4" t="s">
        <v>458</v>
      </c>
      <c r="D164" t="s">
        <v>446</v>
      </c>
      <c r="F164" s="170"/>
      <c r="H164" s="1">
        <v>64</v>
      </c>
      <c r="I164" s="172">
        <f t="shared" si="38"/>
        <v>68.48</v>
      </c>
      <c r="J164" s="167">
        <f t="shared" si="39"/>
        <v>69.12</v>
      </c>
      <c r="K164" s="167">
        <f t="shared" si="18"/>
        <v>0.64000000000000057</v>
      </c>
      <c r="L164" s="167"/>
      <c r="M164" s="1">
        <v>10</v>
      </c>
      <c r="N164" s="167"/>
      <c r="O164" s="1">
        <v>13.8</v>
      </c>
      <c r="Q164" s="1">
        <f t="shared" si="40"/>
        <v>92.92</v>
      </c>
      <c r="R164" s="23">
        <f t="shared" si="41"/>
        <v>590.04200000000003</v>
      </c>
      <c r="S164" s="169">
        <v>590</v>
      </c>
      <c r="T164" s="69">
        <v>68.48</v>
      </c>
      <c r="U164" s="167"/>
      <c r="V164" s="232"/>
      <c r="W164" s="248"/>
    </row>
    <row r="165" spans="1:23" s="7" customFormat="1">
      <c r="A165" s="32"/>
      <c r="F165" s="32"/>
      <c r="H165" s="8"/>
      <c r="I165" s="13">
        <f t="shared" si="26"/>
        <v>0</v>
      </c>
      <c r="J165" s="13">
        <f t="shared" si="24"/>
        <v>0</v>
      </c>
      <c r="K165" s="13">
        <f t="shared" si="18"/>
        <v>0</v>
      </c>
      <c r="L165" s="13"/>
      <c r="M165" s="8"/>
      <c r="N165" s="13"/>
      <c r="O165" s="8"/>
      <c r="P165" s="8"/>
      <c r="Q165" s="8">
        <f t="shared" si="27"/>
        <v>0</v>
      </c>
      <c r="R165" s="68">
        <f t="shared" si="25"/>
        <v>0</v>
      </c>
      <c r="S165" s="48"/>
      <c r="T165" s="40"/>
      <c r="U165" s="13"/>
      <c r="V165" s="96"/>
      <c r="W165" s="13"/>
    </row>
    <row r="166" spans="1:23">
      <c r="A166" s="77">
        <v>57</v>
      </c>
      <c r="B166" t="s">
        <v>423</v>
      </c>
      <c r="C166" s="4" t="s">
        <v>420</v>
      </c>
      <c r="D166" t="s">
        <v>419</v>
      </c>
      <c r="F166" s="170" t="s">
        <v>474</v>
      </c>
      <c r="G166" t="s">
        <v>209</v>
      </c>
      <c r="H166" s="1">
        <v>160</v>
      </c>
      <c r="I166" s="118">
        <f t="shared" si="26"/>
        <v>171.20000000000002</v>
      </c>
      <c r="J166" s="70">
        <f t="shared" si="24"/>
        <v>172.8</v>
      </c>
      <c r="K166" s="70">
        <f t="shared" si="18"/>
        <v>1.5999999999999943</v>
      </c>
      <c r="O166" s="1">
        <v>17.28</v>
      </c>
      <c r="Q166" s="1">
        <f t="shared" si="27"/>
        <v>190.08</v>
      </c>
      <c r="R166" s="23">
        <f t="shared" si="25"/>
        <v>1207.008</v>
      </c>
      <c r="S166" s="161">
        <v>1210</v>
      </c>
      <c r="T166" s="16">
        <v>160</v>
      </c>
      <c r="V166" s="232">
        <f>35+20+37.5</f>
        <v>92.5</v>
      </c>
      <c r="W166" s="12">
        <f>Q166-T166</f>
        <v>30.080000000000013</v>
      </c>
    </row>
    <row r="167" spans="1:23">
      <c r="C167" s="4" t="s">
        <v>422</v>
      </c>
      <c r="D167" t="s">
        <v>421</v>
      </c>
      <c r="H167" s="1">
        <f>64.95*2</f>
        <v>129.9</v>
      </c>
      <c r="I167" s="118">
        <f t="shared" si="26"/>
        <v>138.99300000000002</v>
      </c>
      <c r="J167" s="70">
        <f t="shared" si="24"/>
        <v>140.292</v>
      </c>
      <c r="K167" s="70">
        <f t="shared" si="18"/>
        <v>1.2989999999999782</v>
      </c>
      <c r="O167" s="1">
        <v>14.029</v>
      </c>
      <c r="Q167" s="1">
        <f t="shared" si="27"/>
        <v>154.321</v>
      </c>
      <c r="R167" s="23">
        <f t="shared" si="25"/>
        <v>979.9383499999999</v>
      </c>
      <c r="S167" s="161">
        <v>980</v>
      </c>
      <c r="T167" s="16">
        <v>129.9</v>
      </c>
      <c r="U167" s="165" t="s">
        <v>437</v>
      </c>
      <c r="V167" s="232"/>
      <c r="W167" s="12">
        <f>Q167-T167</f>
        <v>24.420999999999992</v>
      </c>
    </row>
    <row r="168" spans="1:23">
      <c r="A168" s="162"/>
      <c r="C168" s="4" t="s">
        <v>425</v>
      </c>
      <c r="D168" s="30">
        <v>5522847</v>
      </c>
      <c r="F168" s="162"/>
      <c r="H168" s="1">
        <f>27.9*4</f>
        <v>111.6</v>
      </c>
      <c r="I168" s="163">
        <f t="shared" ref="I168" si="42">H168*1.07</f>
        <v>119.41200000000001</v>
      </c>
      <c r="J168" s="159">
        <f t="shared" ref="J168" si="43">H168*1.08</f>
        <v>120.52800000000001</v>
      </c>
      <c r="K168" s="159">
        <f t="shared" ref="K168" si="44">J168-I168</f>
        <v>1.1159999999999997</v>
      </c>
      <c r="L168" s="159"/>
      <c r="N168" s="159"/>
      <c r="O168" s="1">
        <v>12.55</v>
      </c>
      <c r="Q168" s="1">
        <f t="shared" ref="Q168" si="45">SUM(J168,M168,O168)</f>
        <v>133.078</v>
      </c>
      <c r="R168" s="23">
        <f t="shared" ref="R168" si="46">Q168*6.35</f>
        <v>845.0453</v>
      </c>
      <c r="S168" s="161">
        <v>845</v>
      </c>
      <c r="T168" s="160">
        <v>94.86</v>
      </c>
      <c r="U168" s="159"/>
      <c r="V168" s="232"/>
      <c r="W168" s="159">
        <f>Q168-T168</f>
        <v>38.218000000000004</v>
      </c>
    </row>
    <row r="169" spans="1:23">
      <c r="C169" s="4" t="s">
        <v>426</v>
      </c>
      <c r="D169" s="30">
        <v>3560585836</v>
      </c>
      <c r="H169" s="1">
        <v>124</v>
      </c>
      <c r="I169" s="118">
        <f t="shared" si="26"/>
        <v>132.68</v>
      </c>
      <c r="J169" s="70">
        <f t="shared" si="24"/>
        <v>133.92000000000002</v>
      </c>
      <c r="K169" s="70">
        <f t="shared" si="18"/>
        <v>1.2400000000000091</v>
      </c>
      <c r="O169" s="1">
        <v>13.33</v>
      </c>
      <c r="Q169" s="1">
        <f t="shared" si="27"/>
        <v>147.25000000000003</v>
      </c>
      <c r="R169" s="23">
        <f t="shared" si="25"/>
        <v>935.03750000000014</v>
      </c>
      <c r="S169" s="161">
        <v>935</v>
      </c>
      <c r="T169" s="16">
        <v>99.2</v>
      </c>
      <c r="V169" s="232"/>
      <c r="W169" s="159">
        <f>Q169-T169</f>
        <v>48.050000000000026</v>
      </c>
    </row>
    <row r="170" spans="1:23" s="7" customFormat="1">
      <c r="A170" s="32"/>
      <c r="F170" s="32"/>
      <c r="H170" s="8"/>
      <c r="I170" s="13"/>
      <c r="J170" s="13"/>
      <c r="K170" s="13"/>
      <c r="L170" s="13"/>
      <c r="M170" s="8"/>
      <c r="N170" s="13"/>
      <c r="O170" s="8"/>
      <c r="P170" s="8"/>
      <c r="Q170" s="8">
        <f t="shared" si="27"/>
        <v>0</v>
      </c>
      <c r="R170" s="68">
        <f t="shared" si="25"/>
        <v>0</v>
      </c>
      <c r="S170" s="48"/>
      <c r="T170" s="40"/>
      <c r="U170" s="13"/>
      <c r="V170" s="96"/>
      <c r="W170" s="13"/>
    </row>
    <row r="171" spans="1:23">
      <c r="A171" s="77">
        <v>58</v>
      </c>
      <c r="B171" t="s">
        <v>427</v>
      </c>
      <c r="C171" s="4" t="s">
        <v>494</v>
      </c>
      <c r="D171" s="30" t="s">
        <v>428</v>
      </c>
      <c r="F171" s="170" t="s">
        <v>475</v>
      </c>
      <c r="G171" t="s">
        <v>152</v>
      </c>
      <c r="H171" s="1">
        <v>125</v>
      </c>
      <c r="I171" s="118">
        <f t="shared" si="26"/>
        <v>133.75</v>
      </c>
      <c r="J171" s="70">
        <f>H171*1.08</f>
        <v>135</v>
      </c>
      <c r="K171" s="70">
        <f t="shared" si="18"/>
        <v>1.25</v>
      </c>
      <c r="M171" s="1">
        <v>6</v>
      </c>
      <c r="O171" s="1">
        <v>14.1</v>
      </c>
      <c r="Q171" s="1">
        <f t="shared" si="27"/>
        <v>155.1</v>
      </c>
      <c r="R171" s="23">
        <f t="shared" si="25"/>
        <v>984.88499999999988</v>
      </c>
      <c r="S171" s="166">
        <v>985</v>
      </c>
      <c r="T171" s="16">
        <v>106</v>
      </c>
      <c r="U171" s="248" t="s">
        <v>489</v>
      </c>
      <c r="V171" s="232">
        <v>18</v>
      </c>
      <c r="W171" s="12">
        <f>Q171-T171+2</f>
        <v>51.099999999999994</v>
      </c>
    </row>
    <row r="172" spans="1:23">
      <c r="C172" s="4" t="s">
        <v>430</v>
      </c>
      <c r="D172" s="30" t="s">
        <v>429</v>
      </c>
      <c r="H172" s="1">
        <v>90</v>
      </c>
      <c r="I172" s="118">
        <f t="shared" si="26"/>
        <v>96.300000000000011</v>
      </c>
      <c r="J172" s="70">
        <f t="shared" si="24"/>
        <v>97.2</v>
      </c>
      <c r="K172" s="70">
        <f t="shared" si="18"/>
        <v>0.89999999999999147</v>
      </c>
      <c r="O172" s="1">
        <v>9.8800000000000008</v>
      </c>
      <c r="Q172" s="1">
        <f t="shared" si="27"/>
        <v>107.08</v>
      </c>
      <c r="R172" s="23">
        <f t="shared" si="25"/>
        <v>679.95799999999997</v>
      </c>
      <c r="S172" s="166">
        <v>680</v>
      </c>
      <c r="T172" s="16">
        <v>90</v>
      </c>
      <c r="U172" s="248"/>
      <c r="V172" s="232"/>
      <c r="W172" s="12">
        <f>Q172-T172</f>
        <v>17.079999999999998</v>
      </c>
    </row>
    <row r="173" spans="1:23" s="7" customFormat="1">
      <c r="A173" s="32"/>
      <c r="F173" s="32"/>
      <c r="H173" s="8"/>
      <c r="I173" s="13"/>
      <c r="J173" s="13"/>
      <c r="K173" s="13"/>
      <c r="L173" s="13"/>
      <c r="M173" s="8"/>
      <c r="N173" s="13"/>
      <c r="O173" s="8"/>
      <c r="P173" s="8"/>
      <c r="Q173" s="8">
        <f t="shared" si="27"/>
        <v>0</v>
      </c>
      <c r="R173" s="68">
        <f t="shared" si="25"/>
        <v>0</v>
      </c>
      <c r="S173" s="48"/>
      <c r="T173" s="40"/>
      <c r="U173" s="248"/>
      <c r="V173" s="96"/>
      <c r="W173" s="13"/>
    </row>
    <row r="174" spans="1:23">
      <c r="A174" s="77">
        <v>59</v>
      </c>
      <c r="B174" t="s">
        <v>434</v>
      </c>
      <c r="C174" s="4" t="s">
        <v>647</v>
      </c>
      <c r="D174" s="30" t="s">
        <v>431</v>
      </c>
      <c r="F174" s="170" t="s">
        <v>479</v>
      </c>
      <c r="G174" t="s">
        <v>152</v>
      </c>
      <c r="H174" s="1">
        <f>14*10</f>
        <v>140</v>
      </c>
      <c r="I174" s="118">
        <f t="shared" si="26"/>
        <v>149.80000000000001</v>
      </c>
      <c r="J174" s="70">
        <f t="shared" si="24"/>
        <v>151.20000000000002</v>
      </c>
      <c r="K174" s="70">
        <f t="shared" si="18"/>
        <v>1.4000000000000057</v>
      </c>
      <c r="O174" s="1">
        <v>15</v>
      </c>
      <c r="Q174" s="1">
        <f t="shared" si="27"/>
        <v>166.20000000000002</v>
      </c>
      <c r="R174" s="23">
        <f t="shared" si="25"/>
        <v>1055.3700000000001</v>
      </c>
      <c r="S174" s="166">
        <v>1055</v>
      </c>
      <c r="T174" s="16">
        <v>108.01</v>
      </c>
      <c r="U174" s="248"/>
      <c r="V174" s="232">
        <v>90</v>
      </c>
      <c r="W174" s="12">
        <f>Q174-T174</f>
        <v>58.190000000000012</v>
      </c>
    </row>
    <row r="175" spans="1:23">
      <c r="C175" s="4" t="s">
        <v>433</v>
      </c>
      <c r="D175" s="30" t="s">
        <v>432</v>
      </c>
      <c r="H175" s="1">
        <f>24.65*5</f>
        <v>123.25</v>
      </c>
      <c r="I175" s="118">
        <f t="shared" si="26"/>
        <v>131.8775</v>
      </c>
      <c r="J175" s="70">
        <f t="shared" si="24"/>
        <v>133.11000000000001</v>
      </c>
      <c r="K175" s="70">
        <f t="shared" si="18"/>
        <v>1.2325000000000159</v>
      </c>
      <c r="O175" s="1">
        <v>13.311</v>
      </c>
      <c r="Q175" s="1">
        <f t="shared" si="27"/>
        <v>146.42100000000002</v>
      </c>
      <c r="R175" s="23">
        <f t="shared" si="25"/>
        <v>929.77335000000005</v>
      </c>
      <c r="S175" s="166">
        <v>930</v>
      </c>
      <c r="T175" s="16">
        <v>123.25</v>
      </c>
      <c r="U175" s="248"/>
      <c r="V175" s="232"/>
      <c r="W175" s="12">
        <f>Q175-T175</f>
        <v>23.171000000000021</v>
      </c>
    </row>
    <row r="176" spans="1:23" s="7" customFormat="1">
      <c r="A176" s="32"/>
      <c r="F176" s="32"/>
      <c r="H176" s="8"/>
      <c r="I176" s="13"/>
      <c r="J176" s="13"/>
      <c r="K176" s="13"/>
      <c r="L176" s="13"/>
      <c r="M176" s="8"/>
      <c r="N176" s="13"/>
      <c r="O176" s="8"/>
      <c r="P176" s="8"/>
      <c r="Q176" s="8">
        <f t="shared" si="27"/>
        <v>0</v>
      </c>
      <c r="R176" s="68">
        <f t="shared" si="25"/>
        <v>0</v>
      </c>
      <c r="S176" s="48"/>
      <c r="T176" s="40"/>
      <c r="U176" s="13"/>
      <c r="V176" s="96"/>
      <c r="W176" s="13"/>
    </row>
    <row r="177" spans="1:23">
      <c r="A177" s="77">
        <v>60</v>
      </c>
      <c r="B177" t="s">
        <v>435</v>
      </c>
      <c r="C177" s="4" t="s">
        <v>460</v>
      </c>
      <c r="D177" t="s">
        <v>436</v>
      </c>
      <c r="F177" s="179" t="s">
        <v>520</v>
      </c>
      <c r="G177" t="s">
        <v>462</v>
      </c>
      <c r="H177" s="1">
        <v>124.99</v>
      </c>
      <c r="I177" s="118"/>
      <c r="J177" s="70">
        <f>H177*1.0825</f>
        <v>135.30167499999999</v>
      </c>
      <c r="K177" s="70">
        <f t="shared" si="18"/>
        <v>135.30167499999999</v>
      </c>
      <c r="M177" s="1">
        <v>30</v>
      </c>
      <c r="O177" s="1">
        <v>31.56</v>
      </c>
      <c r="Q177" s="1">
        <f t="shared" si="27"/>
        <v>196.86167499999999</v>
      </c>
      <c r="R177" s="23">
        <f t="shared" si="25"/>
        <v>1250.07163625</v>
      </c>
      <c r="S177" s="166">
        <v>1250</v>
      </c>
      <c r="T177" s="16">
        <v>135.30000000000001</v>
      </c>
      <c r="V177" s="232">
        <v>20</v>
      </c>
      <c r="W177" s="248">
        <f>SUM(Q177:Q178)-SUM(T177:T178)-V177</f>
        <v>85.414174999999972</v>
      </c>
    </row>
    <row r="178" spans="1:23">
      <c r="C178" s="4" t="s">
        <v>461</v>
      </c>
      <c r="D178" t="s">
        <v>442</v>
      </c>
      <c r="H178" s="1">
        <v>89</v>
      </c>
      <c r="I178" s="118"/>
      <c r="J178" s="70">
        <f>H178*1.0825</f>
        <v>96.342500000000001</v>
      </c>
      <c r="K178" s="70">
        <f t="shared" ref="K178:K257" si="47">J178-I178</f>
        <v>96.342500000000001</v>
      </c>
      <c r="M178" s="1">
        <v>10</v>
      </c>
      <c r="O178" s="1">
        <v>33.85</v>
      </c>
      <c r="Q178" s="1">
        <f t="shared" si="27"/>
        <v>140.1925</v>
      </c>
      <c r="R178" s="23">
        <f t="shared" si="25"/>
        <v>890.22237499999994</v>
      </c>
      <c r="S178" s="169">
        <v>890</v>
      </c>
      <c r="T178" s="16">
        <v>96.34</v>
      </c>
      <c r="V178" s="232"/>
      <c r="W178" s="248"/>
    </row>
    <row r="179" spans="1:23" s="7" customFormat="1">
      <c r="A179" s="32"/>
      <c r="F179" s="32"/>
      <c r="H179" s="8"/>
      <c r="I179" s="13"/>
      <c r="J179" s="13"/>
      <c r="K179" s="13"/>
      <c r="L179" s="13"/>
      <c r="M179" s="8"/>
      <c r="N179" s="13"/>
      <c r="O179" s="8"/>
      <c r="P179" s="8"/>
      <c r="Q179" s="8">
        <f t="shared" si="27"/>
        <v>0</v>
      </c>
      <c r="R179" s="68">
        <f t="shared" si="25"/>
        <v>0</v>
      </c>
      <c r="S179" s="48"/>
      <c r="T179" s="40"/>
      <c r="U179" s="13"/>
      <c r="V179" s="96"/>
      <c r="W179" s="13"/>
    </row>
    <row r="180" spans="1:23">
      <c r="A180" s="77">
        <v>61</v>
      </c>
      <c r="B180" t="s">
        <v>435</v>
      </c>
      <c r="C180" t="s">
        <v>463</v>
      </c>
      <c r="D180" t="s">
        <v>451</v>
      </c>
      <c r="F180" s="179" t="s">
        <v>521</v>
      </c>
      <c r="G180" t="s">
        <v>473</v>
      </c>
      <c r="H180" s="1">
        <v>79</v>
      </c>
      <c r="I180" s="118"/>
      <c r="J180" s="70">
        <f>H180*1.0825</f>
        <v>85.517499999999998</v>
      </c>
      <c r="K180" s="70">
        <f t="shared" si="47"/>
        <v>85.517499999999998</v>
      </c>
      <c r="O180" s="1">
        <v>21.6</v>
      </c>
      <c r="Q180" s="1">
        <f t="shared" si="27"/>
        <v>107.11750000000001</v>
      </c>
      <c r="R180" s="23">
        <f t="shared" si="25"/>
        <v>680.19612500000005</v>
      </c>
      <c r="S180" s="169">
        <v>680</v>
      </c>
      <c r="T180" s="16">
        <v>85.52</v>
      </c>
      <c r="U180" s="127" t="s">
        <v>493</v>
      </c>
      <c r="V180" s="232">
        <f>24+2</f>
        <v>26</v>
      </c>
      <c r="W180" s="12">
        <f>Q180-T180</f>
        <v>21.597500000000011</v>
      </c>
    </row>
    <row r="181" spans="1:23">
      <c r="A181" s="170"/>
      <c r="B181" t="s">
        <v>444</v>
      </c>
      <c r="C181" t="s">
        <v>464</v>
      </c>
      <c r="D181" t="s">
        <v>450</v>
      </c>
      <c r="F181" s="174"/>
      <c r="H181" s="1">
        <v>33</v>
      </c>
      <c r="I181" s="172">
        <f t="shared" ref="I181:I183" si="48">H181*1.07</f>
        <v>35.31</v>
      </c>
      <c r="J181" s="167">
        <f t="shared" ref="J181:J183" si="49">H181*1.08</f>
        <v>35.64</v>
      </c>
      <c r="K181" s="167">
        <f t="shared" ref="K181:K183" si="50">J181-I181</f>
        <v>0.32999999999999829</v>
      </c>
      <c r="L181" s="167"/>
      <c r="N181" s="167"/>
      <c r="O181" s="1">
        <v>3.74</v>
      </c>
      <c r="Q181" s="1">
        <f t="shared" ref="Q181:Q183" si="51">SUM(J181,M181,O181)</f>
        <v>39.380000000000003</v>
      </c>
      <c r="R181" s="23">
        <f t="shared" ref="R181:R183" si="52">Q181*6.35</f>
        <v>250.06299999999999</v>
      </c>
      <c r="S181" s="169">
        <v>250</v>
      </c>
      <c r="T181" s="247">
        <v>51.34</v>
      </c>
      <c r="U181" s="167"/>
      <c r="V181" s="232"/>
      <c r="W181" s="248">
        <f>SUM(Q181:Q183)-T181</f>
        <v>43.218400000000003</v>
      </c>
    </row>
    <row r="182" spans="1:23">
      <c r="A182" s="170"/>
      <c r="C182" t="s">
        <v>465</v>
      </c>
      <c r="D182" t="s">
        <v>450</v>
      </c>
      <c r="F182" s="174"/>
      <c r="H182" s="1">
        <v>33</v>
      </c>
      <c r="I182" s="172">
        <f t="shared" si="48"/>
        <v>35.31</v>
      </c>
      <c r="J182" s="167">
        <f t="shared" si="49"/>
        <v>35.64</v>
      </c>
      <c r="K182" s="167">
        <f t="shared" si="50"/>
        <v>0.32999999999999829</v>
      </c>
      <c r="L182" s="167"/>
      <c r="M182" s="1">
        <v>6</v>
      </c>
      <c r="N182" s="167"/>
      <c r="O182" s="1">
        <v>0.6</v>
      </c>
      <c r="Q182" s="1">
        <f t="shared" si="51"/>
        <v>42.24</v>
      </c>
      <c r="R182" s="23">
        <f t="shared" si="52"/>
        <v>268.22399999999999</v>
      </c>
      <c r="S182" s="169">
        <v>268</v>
      </c>
      <c r="T182" s="247"/>
      <c r="U182" s="167"/>
      <c r="V182" s="232"/>
      <c r="W182" s="248"/>
    </row>
    <row r="183" spans="1:23">
      <c r="A183" s="170"/>
      <c r="C183" t="s">
        <v>466</v>
      </c>
      <c r="D183" t="s">
        <v>450</v>
      </c>
      <c r="F183" s="174"/>
      <c r="H183" s="1">
        <f>5.99*2</f>
        <v>11.98</v>
      </c>
      <c r="I183" s="172">
        <f t="shared" si="48"/>
        <v>12.818600000000002</v>
      </c>
      <c r="J183" s="167">
        <f t="shared" si="49"/>
        <v>12.938400000000001</v>
      </c>
      <c r="K183" s="167">
        <f t="shared" si="50"/>
        <v>0.11979999999999968</v>
      </c>
      <c r="L183" s="167"/>
      <c r="N183" s="167"/>
      <c r="Q183" s="1">
        <f t="shared" si="51"/>
        <v>12.938400000000001</v>
      </c>
      <c r="R183" s="23">
        <f t="shared" si="52"/>
        <v>82.158839999999998</v>
      </c>
      <c r="S183" s="169">
        <v>82</v>
      </c>
      <c r="T183" s="247"/>
      <c r="U183" s="167"/>
      <c r="V183" s="232"/>
      <c r="W183" s="248"/>
    </row>
    <row r="184" spans="1:23">
      <c r="A184" s="170"/>
      <c r="B184" t="s">
        <v>444</v>
      </c>
      <c r="C184" t="s">
        <v>454</v>
      </c>
      <c r="F184" s="174"/>
      <c r="I184" s="172"/>
      <c r="J184" s="167"/>
      <c r="K184" s="167"/>
      <c r="L184" s="167"/>
      <c r="N184" s="167"/>
      <c r="Q184" s="1">
        <v>0</v>
      </c>
      <c r="R184" s="23">
        <v>0</v>
      </c>
      <c r="S184" s="169">
        <v>0</v>
      </c>
      <c r="T184" s="168">
        <v>0</v>
      </c>
      <c r="U184" s="167"/>
      <c r="V184" s="232"/>
      <c r="W184" s="167"/>
    </row>
    <row r="185" spans="1:23" s="7" customFormat="1">
      <c r="A185" s="32"/>
      <c r="F185" s="32"/>
      <c r="H185" s="8"/>
      <c r="I185" s="13"/>
      <c r="J185" s="13"/>
      <c r="K185" s="13"/>
      <c r="L185" s="13"/>
      <c r="M185" s="8"/>
      <c r="N185" s="13"/>
      <c r="O185" s="8"/>
      <c r="P185" s="8"/>
      <c r="Q185" s="8">
        <f t="shared" si="27"/>
        <v>0</v>
      </c>
      <c r="R185" s="68">
        <f t="shared" si="25"/>
        <v>0</v>
      </c>
      <c r="S185" s="48"/>
      <c r="T185" s="40"/>
      <c r="U185" s="13"/>
      <c r="V185" s="96"/>
      <c r="W185" s="13"/>
    </row>
    <row r="186" spans="1:23">
      <c r="A186" s="77">
        <v>62</v>
      </c>
      <c r="B186" t="s">
        <v>438</v>
      </c>
      <c r="C186" t="s">
        <v>439</v>
      </c>
      <c r="D186" s="173" t="s">
        <v>440</v>
      </c>
      <c r="F186" s="175" t="s">
        <v>507</v>
      </c>
      <c r="G186" t="s">
        <v>441</v>
      </c>
      <c r="H186" s="1">
        <v>267.99</v>
      </c>
      <c r="I186" s="118">
        <f t="shared" si="26"/>
        <v>286.74930000000001</v>
      </c>
      <c r="J186" s="70">
        <f t="shared" si="24"/>
        <v>289.42920000000004</v>
      </c>
      <c r="K186" s="70">
        <f t="shared" si="47"/>
        <v>2.6799000000000319</v>
      </c>
      <c r="M186" s="1">
        <v>30</v>
      </c>
      <c r="O186" s="1">
        <v>31.8</v>
      </c>
      <c r="Q186" s="1">
        <f t="shared" si="27"/>
        <v>351.22920000000005</v>
      </c>
      <c r="R186" s="23">
        <f t="shared" si="25"/>
        <v>2230.3054200000001</v>
      </c>
      <c r="S186" s="169">
        <v>2230</v>
      </c>
      <c r="T186" s="16">
        <v>229.4</v>
      </c>
      <c r="V186" s="95">
        <v>21</v>
      </c>
      <c r="W186" s="12">
        <f>Q186-T186-V186</f>
        <v>100.82920000000004</v>
      </c>
    </row>
    <row r="187" spans="1:23" s="7" customFormat="1">
      <c r="A187" s="32"/>
      <c r="F187" s="32"/>
      <c r="H187" s="8"/>
      <c r="I187" s="13"/>
      <c r="J187" s="13"/>
      <c r="K187" s="13"/>
      <c r="L187" s="13"/>
      <c r="M187" s="8"/>
      <c r="N187" s="13"/>
      <c r="O187" s="8"/>
      <c r="P187" s="8"/>
      <c r="Q187" s="8">
        <f t="shared" si="27"/>
        <v>0</v>
      </c>
      <c r="R187" s="68">
        <f t="shared" si="25"/>
        <v>0</v>
      </c>
      <c r="S187" s="48"/>
      <c r="T187" s="40"/>
      <c r="U187" s="13"/>
      <c r="V187" s="96"/>
      <c r="W187" s="13"/>
    </row>
    <row r="188" spans="1:23">
      <c r="A188" s="77">
        <v>63</v>
      </c>
      <c r="B188" t="s">
        <v>444</v>
      </c>
      <c r="C188" t="s">
        <v>471</v>
      </c>
      <c r="D188" t="s">
        <v>443</v>
      </c>
      <c r="F188" s="179" t="s">
        <v>512</v>
      </c>
      <c r="G188" t="s">
        <v>472</v>
      </c>
      <c r="H188" s="1">
        <f>449.99*2</f>
        <v>899.98</v>
      </c>
      <c r="I188" s="118">
        <f t="shared" si="26"/>
        <v>962.97860000000003</v>
      </c>
      <c r="J188" s="70">
        <f t="shared" si="24"/>
        <v>971.97840000000008</v>
      </c>
      <c r="K188" s="70">
        <f t="shared" si="47"/>
        <v>8.9998000000000502</v>
      </c>
      <c r="O188" s="1">
        <v>77.790000000000006</v>
      </c>
      <c r="Q188" s="1">
        <f t="shared" si="27"/>
        <v>1049.7684000000002</v>
      </c>
      <c r="R188" s="23">
        <f t="shared" si="25"/>
        <v>6666.029340000001</v>
      </c>
      <c r="S188" s="169">
        <v>6666</v>
      </c>
      <c r="T188" s="16">
        <v>962.98</v>
      </c>
      <c r="U188" s="167" t="s">
        <v>492</v>
      </c>
      <c r="V188" s="95">
        <v>240</v>
      </c>
      <c r="W188" s="12">
        <f>Q188-T188</f>
        <v>86.788400000000138</v>
      </c>
    </row>
    <row r="189" spans="1:23" s="7" customFormat="1">
      <c r="A189" s="32"/>
      <c r="F189" s="32"/>
      <c r="H189" s="8"/>
      <c r="I189" s="13"/>
      <c r="J189" s="13"/>
      <c r="K189" s="13"/>
      <c r="L189" s="13"/>
      <c r="M189" s="8"/>
      <c r="N189" s="13"/>
      <c r="O189" s="8"/>
      <c r="P189" s="8"/>
      <c r="Q189" s="8">
        <f t="shared" si="27"/>
        <v>0</v>
      </c>
      <c r="R189" s="68">
        <f t="shared" si="25"/>
        <v>0</v>
      </c>
      <c r="S189" s="48"/>
      <c r="T189" s="40"/>
      <c r="U189" s="13"/>
      <c r="V189" s="96"/>
      <c r="W189" s="13"/>
    </row>
    <row r="190" spans="1:23">
      <c r="A190" s="77">
        <v>64</v>
      </c>
      <c r="B190" t="s">
        <v>444</v>
      </c>
      <c r="C190" t="s">
        <v>467</v>
      </c>
      <c r="D190" t="s">
        <v>452</v>
      </c>
      <c r="F190" s="179" t="s">
        <v>522</v>
      </c>
      <c r="G190" s="31" t="s">
        <v>153</v>
      </c>
      <c r="H190" s="1">
        <f>16.49*2</f>
        <v>32.979999999999997</v>
      </c>
      <c r="I190" s="118">
        <f t="shared" si="26"/>
        <v>35.288599999999995</v>
      </c>
      <c r="J190" s="70">
        <f t="shared" si="24"/>
        <v>35.618400000000001</v>
      </c>
      <c r="K190" s="70">
        <f t="shared" si="47"/>
        <v>0.32980000000000587</v>
      </c>
      <c r="M190" s="1">
        <v>12</v>
      </c>
      <c r="O190" s="1">
        <v>4.3499999999999996</v>
      </c>
      <c r="Q190" s="1">
        <f t="shared" si="27"/>
        <v>51.968400000000003</v>
      </c>
      <c r="R190" s="23">
        <f t="shared" si="25"/>
        <v>329.99934000000002</v>
      </c>
      <c r="S190" s="169">
        <v>330</v>
      </c>
      <c r="T190" s="16">
        <v>29.36</v>
      </c>
      <c r="V190" s="232">
        <v>30</v>
      </c>
      <c r="W190" s="248">
        <f>SUM(Q190:Q194)-SUM(T190:T194)-V190</f>
        <v>60.323999999999998</v>
      </c>
    </row>
    <row r="191" spans="1:23">
      <c r="C191" t="s">
        <v>468</v>
      </c>
      <c r="H191" s="1">
        <v>24.66</v>
      </c>
      <c r="I191" s="118">
        <f t="shared" si="26"/>
        <v>26.386200000000002</v>
      </c>
      <c r="J191" s="70">
        <f t="shared" si="24"/>
        <v>26.632800000000003</v>
      </c>
      <c r="K191" s="70">
        <f t="shared" si="47"/>
        <v>0.24660000000000082</v>
      </c>
      <c r="M191" s="1">
        <v>12</v>
      </c>
      <c r="O191" s="1">
        <v>5.5</v>
      </c>
      <c r="Q191" s="1">
        <f t="shared" si="27"/>
        <v>44.132800000000003</v>
      </c>
      <c r="R191" s="23">
        <f t="shared" si="25"/>
        <v>280.24328000000003</v>
      </c>
      <c r="S191" s="169">
        <v>280</v>
      </c>
      <c r="T191" s="16">
        <v>24.66</v>
      </c>
      <c r="V191" s="232"/>
      <c r="W191" s="248"/>
    </row>
    <row r="192" spans="1:23">
      <c r="C192" t="s">
        <v>469</v>
      </c>
      <c r="H192" s="1">
        <v>12.56</v>
      </c>
      <c r="I192" s="118">
        <f t="shared" si="26"/>
        <v>13.439200000000001</v>
      </c>
      <c r="J192" s="70">
        <f t="shared" si="24"/>
        <v>13.564800000000002</v>
      </c>
      <c r="K192" s="70">
        <f t="shared" si="47"/>
        <v>0.12560000000000038</v>
      </c>
      <c r="M192" s="1">
        <v>8</v>
      </c>
      <c r="O192" s="1">
        <v>2.85</v>
      </c>
      <c r="Q192" s="1">
        <f t="shared" si="27"/>
        <v>24.414800000000003</v>
      </c>
      <c r="R192" s="23">
        <f t="shared" si="25"/>
        <v>155.03398000000001</v>
      </c>
      <c r="S192" s="169">
        <v>155</v>
      </c>
      <c r="T192" s="16">
        <v>12.56</v>
      </c>
      <c r="U192" s="167"/>
      <c r="V192" s="232"/>
      <c r="W192" s="248"/>
    </row>
    <row r="193" spans="1:23">
      <c r="A193" s="170"/>
      <c r="C193" t="s">
        <v>470</v>
      </c>
      <c r="F193" s="170"/>
      <c r="H193" s="1">
        <v>16.86</v>
      </c>
      <c r="I193" s="172">
        <f t="shared" ref="I193" si="53">H193*1.07</f>
        <v>18.040199999999999</v>
      </c>
      <c r="J193" s="167">
        <f t="shared" ref="J193" si="54">H193*1.08</f>
        <v>18.2088</v>
      </c>
      <c r="K193" s="167">
        <f t="shared" ref="K193" si="55">J193-I193</f>
        <v>0.16860000000000142</v>
      </c>
      <c r="L193" s="167"/>
      <c r="M193" s="1">
        <v>12</v>
      </c>
      <c r="N193" s="167"/>
      <c r="O193" s="1">
        <v>3.65</v>
      </c>
      <c r="Q193" s="1">
        <f t="shared" ref="Q193" si="56">SUM(J193,M193,O193)</f>
        <v>33.858800000000002</v>
      </c>
      <c r="R193" s="23">
        <f t="shared" ref="R193" si="57">Q193*6.35</f>
        <v>215.00337999999999</v>
      </c>
      <c r="S193" s="169">
        <v>215</v>
      </c>
      <c r="T193" s="168">
        <v>16.86</v>
      </c>
      <c r="U193" s="167"/>
      <c r="V193" s="232"/>
      <c r="W193" s="248"/>
    </row>
    <row r="194" spans="1:23">
      <c r="C194" t="s">
        <v>453</v>
      </c>
      <c r="D194" s="30">
        <v>3583329996</v>
      </c>
      <c r="H194" s="1">
        <v>19.989999999999998</v>
      </c>
      <c r="I194" s="172">
        <f t="shared" si="26"/>
        <v>21.389299999999999</v>
      </c>
      <c r="J194" s="70">
        <f t="shared" si="24"/>
        <v>21.589199999999998</v>
      </c>
      <c r="K194" s="70">
        <f t="shared" si="47"/>
        <v>0.19989999999999952</v>
      </c>
      <c r="M194" s="1">
        <f>3.99+10</f>
        <v>13.99</v>
      </c>
      <c r="O194" s="1">
        <v>3.8</v>
      </c>
      <c r="Q194" s="1">
        <f t="shared" si="27"/>
        <v>39.379199999999997</v>
      </c>
      <c r="R194" s="23">
        <f t="shared" si="25"/>
        <v>250.05791999999997</v>
      </c>
      <c r="S194" s="169">
        <v>250</v>
      </c>
      <c r="T194" s="16">
        <v>19.989999999999998</v>
      </c>
      <c r="U194" s="167" t="s">
        <v>455</v>
      </c>
      <c r="V194" s="232"/>
      <c r="W194" s="248"/>
    </row>
    <row r="195" spans="1:23" s="7" customFormat="1">
      <c r="A195" s="32"/>
      <c r="F195" s="32"/>
      <c r="H195" s="8"/>
      <c r="I195" s="13"/>
      <c r="J195" s="13"/>
      <c r="K195" s="13"/>
      <c r="L195" s="13"/>
      <c r="M195" s="8"/>
      <c r="N195" s="13"/>
      <c r="O195" s="8"/>
      <c r="P195" s="8"/>
      <c r="Q195" s="8">
        <f t="shared" si="27"/>
        <v>0</v>
      </c>
      <c r="R195" s="68">
        <f t="shared" si="25"/>
        <v>0</v>
      </c>
      <c r="S195" s="48"/>
      <c r="T195" s="40"/>
      <c r="U195" s="13"/>
      <c r="V195" s="96"/>
      <c r="W195" s="13"/>
    </row>
    <row r="196" spans="1:23">
      <c r="A196" s="77">
        <v>65</v>
      </c>
      <c r="B196" t="s">
        <v>476</v>
      </c>
      <c r="C196" t="s">
        <v>477</v>
      </c>
      <c r="D196" t="s">
        <v>442</v>
      </c>
      <c r="F196" s="178" t="s">
        <v>513</v>
      </c>
      <c r="G196" t="s">
        <v>478</v>
      </c>
      <c r="H196" s="1">
        <v>149</v>
      </c>
      <c r="I196" s="172"/>
      <c r="J196" s="70">
        <f>H196*1.0825</f>
        <v>161.29249999999999</v>
      </c>
      <c r="K196" s="70">
        <f t="shared" si="47"/>
        <v>161.29249999999999</v>
      </c>
      <c r="M196" s="1">
        <v>30</v>
      </c>
      <c r="O196" s="1">
        <v>21.3</v>
      </c>
      <c r="Q196" s="5">
        <f t="shared" si="27"/>
        <v>212.5925</v>
      </c>
      <c r="R196" s="23">
        <f t="shared" si="25"/>
        <v>1349.9623749999998</v>
      </c>
      <c r="S196" s="169">
        <v>1350</v>
      </c>
      <c r="T196" s="16">
        <v>161.29</v>
      </c>
      <c r="U196" s="167" t="s">
        <v>491</v>
      </c>
      <c r="V196" s="95">
        <f>11.07-5.5+16</f>
        <v>21.57</v>
      </c>
      <c r="W196" s="12">
        <f>Q196-T196-V196</f>
        <v>29.732500000000009</v>
      </c>
    </row>
    <row r="197" spans="1:23" s="7" customFormat="1">
      <c r="A197" s="32"/>
      <c r="F197" s="32"/>
      <c r="H197" s="8"/>
      <c r="I197" s="13">
        <f t="shared" si="26"/>
        <v>0</v>
      </c>
      <c r="J197" s="13">
        <f t="shared" ref="J197:J291" si="58">H197*1.0825</f>
        <v>0</v>
      </c>
      <c r="K197" s="13">
        <f t="shared" si="47"/>
        <v>0</v>
      </c>
      <c r="L197" s="13"/>
      <c r="M197" s="8"/>
      <c r="N197" s="13"/>
      <c r="O197" s="8"/>
      <c r="P197" s="8"/>
      <c r="Q197" s="8">
        <f t="shared" si="27"/>
        <v>0</v>
      </c>
      <c r="R197" s="68">
        <f t="shared" si="25"/>
        <v>0</v>
      </c>
      <c r="S197" s="48"/>
      <c r="T197" s="40"/>
      <c r="U197" s="13"/>
      <c r="V197" s="96"/>
      <c r="W197" s="13"/>
    </row>
    <row r="198" spans="1:23">
      <c r="A198" s="77">
        <v>66</v>
      </c>
      <c r="B198" t="s">
        <v>480</v>
      </c>
      <c r="C198" t="s">
        <v>481</v>
      </c>
      <c r="D198" s="30" t="s">
        <v>482</v>
      </c>
      <c r="F198" s="158" t="s">
        <v>523</v>
      </c>
      <c r="G198" t="s">
        <v>209</v>
      </c>
      <c r="H198" s="1">
        <f>62.99*14</f>
        <v>881.86</v>
      </c>
      <c r="I198" s="172"/>
      <c r="J198" s="167">
        <f>H198</f>
        <v>881.86</v>
      </c>
      <c r="K198" s="167">
        <f t="shared" si="47"/>
        <v>881.86</v>
      </c>
      <c r="O198" s="1">
        <v>88.25</v>
      </c>
      <c r="Q198" s="5">
        <f t="shared" si="27"/>
        <v>970.11</v>
      </c>
      <c r="R198" s="23">
        <f t="shared" si="25"/>
        <v>6160.1984999999995</v>
      </c>
      <c r="S198" s="169">
        <v>6160</v>
      </c>
      <c r="T198" s="16">
        <v>661.36</v>
      </c>
      <c r="U198" s="127" t="s">
        <v>517</v>
      </c>
      <c r="V198" s="95">
        <f>27.5+37.5</f>
        <v>65</v>
      </c>
      <c r="W198" s="12">
        <f>Q198-T198+1</f>
        <v>309.75</v>
      </c>
    </row>
    <row r="199" spans="1:23" s="7" customFormat="1">
      <c r="A199" s="32"/>
      <c r="F199" s="32"/>
      <c r="H199" s="8"/>
      <c r="I199" s="13">
        <f t="shared" si="26"/>
        <v>0</v>
      </c>
      <c r="J199" s="13">
        <f t="shared" si="58"/>
        <v>0</v>
      </c>
      <c r="K199" s="13">
        <f t="shared" si="47"/>
        <v>0</v>
      </c>
      <c r="L199" s="13"/>
      <c r="M199" s="8"/>
      <c r="N199" s="13"/>
      <c r="O199" s="8"/>
      <c r="P199" s="8"/>
      <c r="Q199" s="8">
        <f t="shared" si="27"/>
        <v>0</v>
      </c>
      <c r="R199" s="68">
        <f t="shared" si="25"/>
        <v>0</v>
      </c>
      <c r="S199" s="48"/>
      <c r="T199" s="40"/>
      <c r="U199" s="13"/>
      <c r="V199" s="96"/>
      <c r="W199" s="13"/>
    </row>
    <row r="200" spans="1:23">
      <c r="A200" s="77">
        <v>67</v>
      </c>
      <c r="B200" t="s">
        <v>480</v>
      </c>
      <c r="C200" t="s">
        <v>486</v>
      </c>
      <c r="D200" s="30" t="s">
        <v>484</v>
      </c>
      <c r="F200" s="179" t="s">
        <v>495</v>
      </c>
      <c r="G200" t="s">
        <v>59</v>
      </c>
      <c r="H200" s="1">
        <f>29.99/2+29.99</f>
        <v>44.984999999999999</v>
      </c>
      <c r="I200" s="172">
        <f t="shared" si="26"/>
        <v>48.133949999999999</v>
      </c>
      <c r="J200" s="167">
        <f t="shared" si="58"/>
        <v>48.696262500000003</v>
      </c>
      <c r="K200" s="167">
        <f t="shared" si="47"/>
        <v>0.56231250000000443</v>
      </c>
      <c r="Q200" s="5">
        <f t="shared" si="27"/>
        <v>48.696262500000003</v>
      </c>
      <c r="R200" s="23">
        <f t="shared" si="25"/>
        <v>309.22126687500003</v>
      </c>
      <c r="S200" s="249">
        <v>790</v>
      </c>
      <c r="T200" s="247">
        <v>81.92</v>
      </c>
      <c r="U200" s="268" t="s">
        <v>554</v>
      </c>
      <c r="V200" s="232">
        <f>48+5.5</f>
        <v>53.5</v>
      </c>
      <c r="W200" s="248">
        <f>SUM(Q200:Q202)-T200</f>
        <v>42.486312500000011</v>
      </c>
    </row>
    <row r="201" spans="1:23">
      <c r="C201" s="4" t="s">
        <v>487</v>
      </c>
      <c r="H201" s="1">
        <f>14.99*2</f>
        <v>29.98</v>
      </c>
      <c r="I201" s="172">
        <f t="shared" si="26"/>
        <v>32.078600000000002</v>
      </c>
      <c r="J201" s="167">
        <f t="shared" si="58"/>
        <v>32.45335</v>
      </c>
      <c r="K201" s="167">
        <f t="shared" si="47"/>
        <v>0.37474999999999881</v>
      </c>
      <c r="Q201" s="5">
        <f t="shared" si="27"/>
        <v>32.45335</v>
      </c>
      <c r="R201" s="23">
        <f t="shared" si="25"/>
        <v>206.07877249999999</v>
      </c>
      <c r="S201" s="249"/>
      <c r="T201" s="247"/>
      <c r="U201" s="268"/>
      <c r="V201" s="232"/>
      <c r="W201" s="248"/>
    </row>
    <row r="202" spans="1:23">
      <c r="C202" s="4" t="s">
        <v>488</v>
      </c>
      <c r="H202" s="1">
        <f>9.99*4</f>
        <v>39.96</v>
      </c>
      <c r="I202" s="172">
        <f t="shared" si="26"/>
        <v>42.757200000000005</v>
      </c>
      <c r="J202" s="167">
        <f t="shared" si="58"/>
        <v>43.256700000000002</v>
      </c>
      <c r="K202" s="167">
        <f t="shared" si="47"/>
        <v>0.49949999999999761</v>
      </c>
      <c r="Q202" s="5">
        <f t="shared" si="27"/>
        <v>43.256700000000002</v>
      </c>
      <c r="R202" s="23">
        <f t="shared" si="25"/>
        <v>274.68004500000001</v>
      </c>
      <c r="S202" s="249"/>
      <c r="T202" s="247"/>
      <c r="U202" s="268"/>
      <c r="V202" s="232"/>
      <c r="W202" s="248"/>
    </row>
    <row r="203" spans="1:23">
      <c r="A203" s="170"/>
      <c r="C203" s="4" t="s">
        <v>490</v>
      </c>
      <c r="D203" t="s">
        <v>442</v>
      </c>
      <c r="F203" s="170"/>
      <c r="H203" s="1">
        <v>197.5</v>
      </c>
      <c r="I203" s="172">
        <f t="shared" si="26"/>
        <v>211.32500000000002</v>
      </c>
      <c r="J203" s="167">
        <f t="shared" ref="J203" si="59">H203*1.0825</f>
        <v>213.79375000000002</v>
      </c>
      <c r="K203" s="167">
        <f t="shared" ref="K203" si="60">J203-I203</f>
        <v>2.46875</v>
      </c>
      <c r="L203" s="167"/>
      <c r="M203" s="1">
        <v>15</v>
      </c>
      <c r="N203" s="167"/>
      <c r="O203" s="1">
        <v>23.2</v>
      </c>
      <c r="Q203" s="5">
        <f t="shared" si="27"/>
        <v>251.99375000000001</v>
      </c>
      <c r="R203" s="23">
        <f t="shared" ref="R203" si="61">Q203*6.35</f>
        <v>1600.1603124999999</v>
      </c>
      <c r="S203" s="181">
        <v>1600</v>
      </c>
      <c r="T203" s="168">
        <v>213.79</v>
      </c>
      <c r="U203" s="268"/>
      <c r="V203" s="232"/>
      <c r="W203" s="167">
        <f>Q203-T203</f>
        <v>38.203750000000014</v>
      </c>
    </row>
    <row r="204" spans="1:23" s="7" customFormat="1">
      <c r="A204" s="32"/>
      <c r="F204" s="32"/>
      <c r="H204" s="8"/>
      <c r="I204" s="13">
        <f t="shared" si="26"/>
        <v>0</v>
      </c>
      <c r="J204" s="13">
        <f t="shared" si="58"/>
        <v>0</v>
      </c>
      <c r="K204" s="13">
        <f t="shared" si="47"/>
        <v>0</v>
      </c>
      <c r="L204" s="13"/>
      <c r="M204" s="8"/>
      <c r="N204" s="13"/>
      <c r="O204" s="8"/>
      <c r="P204" s="8"/>
      <c r="Q204" s="8">
        <f t="shared" si="27"/>
        <v>0</v>
      </c>
      <c r="R204" s="68">
        <f t="shared" ref="R204:R298" si="62">Q204*6.35</f>
        <v>0</v>
      </c>
      <c r="S204" s="48"/>
      <c r="T204" s="40"/>
      <c r="U204" s="13"/>
      <c r="V204" s="96"/>
      <c r="W204" s="13"/>
    </row>
    <row r="205" spans="1:23">
      <c r="A205" s="77">
        <v>68</v>
      </c>
      <c r="B205" t="s">
        <v>497</v>
      </c>
      <c r="C205" s="4" t="s">
        <v>498</v>
      </c>
      <c r="D205" t="s">
        <v>509</v>
      </c>
      <c r="F205" s="179" t="s">
        <v>514</v>
      </c>
      <c r="H205" s="1">
        <f>10.59*5</f>
        <v>52.95</v>
      </c>
      <c r="I205" s="172">
        <f t="shared" ref="I205:I299" si="63">H205*1.07</f>
        <v>56.656500000000008</v>
      </c>
      <c r="J205" s="167">
        <f t="shared" si="58"/>
        <v>57.318375000000003</v>
      </c>
      <c r="K205" s="167">
        <f t="shared" si="47"/>
        <v>0.66187499999999488</v>
      </c>
      <c r="O205" s="1">
        <v>5.7</v>
      </c>
      <c r="Q205" s="5">
        <f t="shared" ref="Q205:Q299" si="64">SUM(J205,M205,O205)</f>
        <v>63.018375000000006</v>
      </c>
      <c r="R205" s="23">
        <f t="shared" si="62"/>
        <v>400.16668125000001</v>
      </c>
      <c r="S205" s="177">
        <v>400</v>
      </c>
      <c r="T205" s="16">
        <v>47.65</v>
      </c>
      <c r="U205" s="237" t="s">
        <v>518</v>
      </c>
      <c r="V205" s="232">
        <f>39+20+25+30+24</f>
        <v>138</v>
      </c>
      <c r="W205" s="95">
        <f>Q205-T205+2</f>
        <v>17.368375000000007</v>
      </c>
    </row>
    <row r="206" spans="1:23">
      <c r="C206" s="4" t="s">
        <v>499</v>
      </c>
      <c r="D206" t="s">
        <v>500</v>
      </c>
      <c r="F206" s="158" t="s">
        <v>615</v>
      </c>
      <c r="G206" t="s">
        <v>152</v>
      </c>
      <c r="H206" s="1">
        <f>11.49*5</f>
        <v>57.45</v>
      </c>
      <c r="I206" s="172">
        <f t="shared" si="63"/>
        <v>61.471500000000006</v>
      </c>
      <c r="J206" s="167">
        <f t="shared" si="58"/>
        <v>62.189625000000007</v>
      </c>
      <c r="K206" s="167">
        <f t="shared" si="47"/>
        <v>0.71812500000000057</v>
      </c>
      <c r="O206" s="1">
        <v>6.2188999999999997</v>
      </c>
      <c r="Q206" s="5">
        <f t="shared" si="64"/>
        <v>68.408525000000012</v>
      </c>
      <c r="R206" s="23">
        <f t="shared" si="62"/>
        <v>434.39413375000004</v>
      </c>
      <c r="S206" s="177">
        <v>435</v>
      </c>
      <c r="T206" s="16">
        <v>55.32</v>
      </c>
      <c r="U206" s="237"/>
      <c r="V206" s="232"/>
      <c r="W206" s="95">
        <f>Q206-T206</f>
        <v>13.088525000000011</v>
      </c>
    </row>
    <row r="207" spans="1:23">
      <c r="C207" s="4" t="s">
        <v>501</v>
      </c>
      <c r="D207" t="s">
        <v>503</v>
      </c>
      <c r="F207" s="158" t="s">
        <v>616</v>
      </c>
      <c r="H207" s="1">
        <f>40.59*3</f>
        <v>121.77000000000001</v>
      </c>
      <c r="I207" s="172">
        <f t="shared" si="63"/>
        <v>130.29390000000001</v>
      </c>
      <c r="J207" s="167">
        <f t="shared" si="58"/>
        <v>131.81602500000002</v>
      </c>
      <c r="K207" s="167">
        <f t="shared" si="47"/>
        <v>1.5221250000000168</v>
      </c>
      <c r="O207" s="1">
        <v>13.07</v>
      </c>
      <c r="Q207" s="5">
        <f t="shared" si="64"/>
        <v>144.88602500000002</v>
      </c>
      <c r="R207" s="23">
        <f t="shared" si="62"/>
        <v>920.02625875000001</v>
      </c>
      <c r="S207" s="177">
        <v>920</v>
      </c>
      <c r="T207" s="247">
        <v>201.99</v>
      </c>
      <c r="U207" s="237"/>
      <c r="V207" s="232"/>
      <c r="W207" s="248">
        <f>Q207+Q208-T207</f>
        <v>22.445175000000006</v>
      </c>
    </row>
    <row r="208" spans="1:23">
      <c r="C208" s="4" t="s">
        <v>502</v>
      </c>
      <c r="D208" t="s">
        <v>503</v>
      </c>
      <c r="H208" s="1">
        <f>22.34*3</f>
        <v>67.02</v>
      </c>
      <c r="I208" s="172">
        <f t="shared" si="63"/>
        <v>71.711399999999998</v>
      </c>
      <c r="J208" s="167">
        <f t="shared" si="58"/>
        <v>72.549149999999997</v>
      </c>
      <c r="K208" s="167">
        <f t="shared" si="47"/>
        <v>0.83774999999999977</v>
      </c>
      <c r="O208" s="1">
        <v>7</v>
      </c>
      <c r="Q208" s="5">
        <f t="shared" si="64"/>
        <v>79.549149999999997</v>
      </c>
      <c r="R208" s="23">
        <f t="shared" si="62"/>
        <v>505.13710249999997</v>
      </c>
      <c r="S208" s="177">
        <v>505</v>
      </c>
      <c r="T208" s="247"/>
      <c r="U208" s="237"/>
      <c r="V208" s="232"/>
      <c r="W208" s="248"/>
    </row>
    <row r="209" spans="1:23">
      <c r="C209" s="4" t="s">
        <v>504</v>
      </c>
      <c r="D209" t="s">
        <v>505</v>
      </c>
      <c r="H209" s="1">
        <v>162.96</v>
      </c>
      <c r="I209" s="172">
        <f t="shared" si="63"/>
        <v>174.36720000000003</v>
      </c>
      <c r="J209" s="167">
        <f t="shared" si="58"/>
        <v>176.4042</v>
      </c>
      <c r="K209" s="167">
        <f t="shared" si="47"/>
        <v>2.0369999999999777</v>
      </c>
      <c r="O209" s="1">
        <v>17.3</v>
      </c>
      <c r="Q209" s="5">
        <f t="shared" si="64"/>
        <v>193.70420000000001</v>
      </c>
      <c r="R209" s="23">
        <f t="shared" si="62"/>
        <v>1230.0216700000001</v>
      </c>
      <c r="S209" s="177">
        <v>1230</v>
      </c>
      <c r="T209" s="16">
        <v>174.37</v>
      </c>
      <c r="U209" s="237"/>
      <c r="V209" s="232"/>
      <c r="W209" s="12">
        <f>Q209-T209</f>
        <v>19.33420000000001</v>
      </c>
    </row>
    <row r="210" spans="1:23" ht="28.2">
      <c r="C210" s="4" t="s">
        <v>508</v>
      </c>
      <c r="D210" s="17" t="s">
        <v>506</v>
      </c>
      <c r="H210" s="1">
        <v>176.27</v>
      </c>
      <c r="I210" s="172">
        <f t="shared" si="63"/>
        <v>188.60890000000003</v>
      </c>
      <c r="J210" s="167">
        <f t="shared" si="58"/>
        <v>190.81227500000003</v>
      </c>
      <c r="K210" s="167">
        <f t="shared" si="47"/>
        <v>2.2033749999999941</v>
      </c>
      <c r="O210" s="1">
        <v>18.7</v>
      </c>
      <c r="Q210" s="5">
        <f t="shared" si="64"/>
        <v>209.51227500000002</v>
      </c>
      <c r="R210" s="23">
        <f t="shared" si="62"/>
        <v>1330.40294625</v>
      </c>
      <c r="S210" s="177">
        <v>1330</v>
      </c>
      <c r="T210" s="16">
        <v>176.27</v>
      </c>
      <c r="U210" s="237"/>
      <c r="V210" s="232"/>
      <c r="W210" s="12">
        <f>Q210-T210</f>
        <v>33.242275000000006</v>
      </c>
    </row>
    <row r="211" spans="1:23" s="7" customFormat="1">
      <c r="A211" s="32"/>
      <c r="F211" s="32"/>
      <c r="H211" s="8"/>
      <c r="I211" s="13">
        <f t="shared" si="63"/>
        <v>0</v>
      </c>
      <c r="J211" s="13">
        <f t="shared" si="58"/>
        <v>0</v>
      </c>
      <c r="K211" s="13">
        <f t="shared" si="47"/>
        <v>0</v>
      </c>
      <c r="L211" s="13"/>
      <c r="M211" s="8"/>
      <c r="N211" s="13"/>
      <c r="O211" s="8"/>
      <c r="P211" s="8"/>
      <c r="Q211" s="8">
        <f t="shared" si="64"/>
        <v>0</v>
      </c>
      <c r="R211" s="68">
        <f t="shared" si="62"/>
        <v>0</v>
      </c>
      <c r="S211" s="48"/>
      <c r="T211" s="40"/>
      <c r="U211" s="13"/>
      <c r="V211" s="96"/>
      <c r="W211" s="13"/>
    </row>
    <row r="212" spans="1:23">
      <c r="A212" s="77">
        <v>69</v>
      </c>
      <c r="B212" t="s">
        <v>511</v>
      </c>
      <c r="C212" s="4" t="s">
        <v>515</v>
      </c>
      <c r="D212" s="30" t="s">
        <v>510</v>
      </c>
      <c r="F212" s="206" t="s">
        <v>619</v>
      </c>
      <c r="G212" t="s">
        <v>516</v>
      </c>
      <c r="H212" s="1">
        <v>69</v>
      </c>
      <c r="I212" s="172">
        <f t="shared" si="63"/>
        <v>73.83</v>
      </c>
      <c r="J212" s="167">
        <f t="shared" si="58"/>
        <v>74.692499999999995</v>
      </c>
      <c r="K212" s="167">
        <f t="shared" si="47"/>
        <v>0.86249999999999716</v>
      </c>
      <c r="M212" s="1">
        <v>20</v>
      </c>
      <c r="O212" s="1">
        <v>10.050000000000001</v>
      </c>
      <c r="Q212" s="5">
        <f t="shared" si="64"/>
        <v>104.74249999999999</v>
      </c>
      <c r="R212" s="23">
        <f t="shared" si="62"/>
        <v>665.11487499999987</v>
      </c>
      <c r="S212" s="176">
        <v>665</v>
      </c>
      <c r="T212" s="16">
        <v>69</v>
      </c>
      <c r="V212" s="95">
        <v>16</v>
      </c>
      <c r="W212" s="12">
        <f>Q212-T212-V212</f>
        <v>19.742499999999993</v>
      </c>
    </row>
    <row r="213" spans="1:23" s="7" customFormat="1">
      <c r="A213" s="32"/>
      <c r="F213" s="32"/>
      <c r="H213" s="8"/>
      <c r="I213" s="13">
        <f t="shared" si="63"/>
        <v>0</v>
      </c>
      <c r="J213" s="13">
        <f t="shared" si="58"/>
        <v>0</v>
      </c>
      <c r="K213" s="13">
        <f t="shared" si="47"/>
        <v>0</v>
      </c>
      <c r="L213" s="13"/>
      <c r="M213" s="8"/>
      <c r="N213" s="13"/>
      <c r="O213" s="8"/>
      <c r="P213" s="8"/>
      <c r="Q213" s="8">
        <f t="shared" si="64"/>
        <v>0</v>
      </c>
      <c r="R213" s="68">
        <f t="shared" si="62"/>
        <v>0</v>
      </c>
      <c r="S213" s="48"/>
      <c r="T213" s="40"/>
      <c r="U213" s="13"/>
      <c r="V213" s="96"/>
      <c r="W213" s="13"/>
    </row>
    <row r="214" spans="1:23">
      <c r="A214" s="77">
        <v>70</v>
      </c>
      <c r="B214" t="s">
        <v>528</v>
      </c>
      <c r="C214" s="4" t="s">
        <v>618</v>
      </c>
      <c r="D214" s="30" t="s">
        <v>527</v>
      </c>
      <c r="F214" s="221" t="s">
        <v>704</v>
      </c>
      <c r="G214" t="s">
        <v>209</v>
      </c>
      <c r="H214" s="1">
        <v>199.95</v>
      </c>
      <c r="I214" s="172">
        <f t="shared" si="63"/>
        <v>213.94649999999999</v>
      </c>
      <c r="J214" s="167">
        <f t="shared" si="58"/>
        <v>216.445875</v>
      </c>
      <c r="K214" s="167">
        <f t="shared" si="47"/>
        <v>2.4993750000000148</v>
      </c>
      <c r="M214" s="1">
        <v>25</v>
      </c>
      <c r="O214" s="1">
        <v>24.7</v>
      </c>
      <c r="Q214" s="5">
        <f t="shared" si="64"/>
        <v>266.14587499999999</v>
      </c>
      <c r="R214" s="23">
        <f t="shared" si="62"/>
        <v>1690.0263062499998</v>
      </c>
      <c r="S214" s="181">
        <v>1690</v>
      </c>
      <c r="T214" s="16">
        <v>213.95</v>
      </c>
      <c r="V214" s="95">
        <v>27</v>
      </c>
      <c r="W214" s="12">
        <f>Q214-T214-V214</f>
        <v>25.195875000000001</v>
      </c>
    </row>
    <row r="215" spans="1:23" s="7" customFormat="1">
      <c r="A215" s="32"/>
      <c r="F215" s="32"/>
      <c r="H215" s="8"/>
      <c r="I215" s="13">
        <f t="shared" si="63"/>
        <v>0</v>
      </c>
      <c r="J215" s="13">
        <f t="shared" si="58"/>
        <v>0</v>
      </c>
      <c r="K215" s="13">
        <f t="shared" si="47"/>
        <v>0</v>
      </c>
      <c r="L215" s="13"/>
      <c r="M215" s="8"/>
      <c r="N215" s="13"/>
      <c r="O215" s="8"/>
      <c r="P215" s="8"/>
      <c r="Q215" s="8">
        <f t="shared" si="64"/>
        <v>0</v>
      </c>
      <c r="R215" s="68">
        <f t="shared" si="62"/>
        <v>0</v>
      </c>
      <c r="S215" s="48"/>
      <c r="T215" s="40"/>
      <c r="U215" s="13"/>
      <c r="V215" s="96"/>
      <c r="W215" s="13"/>
    </row>
    <row r="216" spans="1:23" s="173" customFormat="1">
      <c r="A216" s="158">
        <v>71</v>
      </c>
      <c r="B216" s="173" t="s">
        <v>531</v>
      </c>
      <c r="C216" s="173" t="s">
        <v>529</v>
      </c>
      <c r="D216" s="173" t="s">
        <v>530</v>
      </c>
      <c r="E216" s="173" t="s">
        <v>586</v>
      </c>
      <c r="F216" s="241" t="s">
        <v>714</v>
      </c>
      <c r="G216" s="173" t="s">
        <v>584</v>
      </c>
      <c r="H216" s="187">
        <v>124.5</v>
      </c>
      <c r="I216" s="180">
        <f t="shared" si="63"/>
        <v>133.215</v>
      </c>
      <c r="J216" s="188">
        <f t="shared" si="58"/>
        <v>134.77125000000001</v>
      </c>
      <c r="K216" s="188">
        <f t="shared" si="47"/>
        <v>1.5562500000000057</v>
      </c>
      <c r="L216" s="188"/>
      <c r="M216" s="187">
        <v>36</v>
      </c>
      <c r="N216" s="188"/>
      <c r="O216" s="187">
        <v>26.09</v>
      </c>
      <c r="P216" s="187"/>
      <c r="Q216" s="189">
        <f t="shared" si="64"/>
        <v>196.86125000000001</v>
      </c>
      <c r="R216" s="190">
        <f t="shared" si="62"/>
        <v>1250.0689374999999</v>
      </c>
      <c r="S216" s="191">
        <v>1250</v>
      </c>
      <c r="T216" s="192">
        <v>134.77000000000001</v>
      </c>
      <c r="U216" s="188" t="s">
        <v>646</v>
      </c>
      <c r="V216" s="232">
        <f>27+9</f>
        <v>36</v>
      </c>
      <c r="W216" s="231">
        <f>Q216+Q217+Q218-T216-T217-T218-V216-85.05</f>
        <v>20.006250000000009</v>
      </c>
    </row>
    <row r="217" spans="1:23" s="173" customFormat="1">
      <c r="A217" s="185"/>
      <c r="C217" s="193" t="s">
        <v>558</v>
      </c>
      <c r="D217" s="173" t="s">
        <v>548</v>
      </c>
      <c r="E217" s="173" t="s">
        <v>586</v>
      </c>
      <c r="F217" s="241"/>
      <c r="G217" s="197" t="s">
        <v>590</v>
      </c>
      <c r="H217" s="187">
        <v>118</v>
      </c>
      <c r="I217" s="180">
        <f t="shared" ref="I217:I219" si="65">H217*1.07</f>
        <v>126.26</v>
      </c>
      <c r="J217" s="188">
        <f t="shared" ref="J217:J219" si="66">H217*1.0825</f>
        <v>127.735</v>
      </c>
      <c r="K217" s="188">
        <f t="shared" ref="K217:K219" si="67">J217-I217</f>
        <v>1.4749999999999943</v>
      </c>
      <c r="L217" s="188"/>
      <c r="M217" s="187">
        <v>36</v>
      </c>
      <c r="N217" s="188"/>
      <c r="O217" s="187">
        <v>33.119999999999997</v>
      </c>
      <c r="P217" s="187"/>
      <c r="Q217" s="189">
        <f t="shared" ref="Q217:Q219" si="68">SUM(J217,M217,O217)</f>
        <v>196.85500000000002</v>
      </c>
      <c r="R217" s="190">
        <f t="shared" ref="R217:R219" si="69">Q217*6.35</f>
        <v>1250.02925</v>
      </c>
      <c r="S217" s="191">
        <v>1250</v>
      </c>
      <c r="T217" s="192">
        <v>127.74</v>
      </c>
      <c r="U217" s="188"/>
      <c r="V217" s="232"/>
      <c r="W217" s="231"/>
    </row>
    <row r="218" spans="1:23" s="173" customFormat="1">
      <c r="A218" s="185"/>
      <c r="C218" s="193" t="s">
        <v>564</v>
      </c>
      <c r="D218" s="173" t="s">
        <v>565</v>
      </c>
      <c r="E218" s="173" t="s">
        <v>586</v>
      </c>
      <c r="F218" s="241"/>
      <c r="G218" s="197" t="s">
        <v>590</v>
      </c>
      <c r="H218" s="187">
        <f>22*2</f>
        <v>44</v>
      </c>
      <c r="I218" s="180">
        <f t="shared" si="65"/>
        <v>47.080000000000005</v>
      </c>
      <c r="J218" s="188">
        <f t="shared" si="66"/>
        <v>47.63</v>
      </c>
      <c r="K218" s="188">
        <f t="shared" si="67"/>
        <v>0.54999999999999716</v>
      </c>
      <c r="L218" s="188"/>
      <c r="M218" s="187"/>
      <c r="N218" s="188"/>
      <c r="O218" s="187">
        <v>1.2</v>
      </c>
      <c r="P218" s="187"/>
      <c r="Q218" s="189">
        <f t="shared" si="68"/>
        <v>48.830000000000005</v>
      </c>
      <c r="R218" s="190">
        <f t="shared" si="69"/>
        <v>310.07050000000004</v>
      </c>
      <c r="S218" s="191">
        <v>310</v>
      </c>
      <c r="T218" s="192">
        <v>38.979999999999997</v>
      </c>
      <c r="U218" s="188"/>
      <c r="V218" s="232"/>
      <c r="W218" s="231"/>
    </row>
    <row r="219" spans="1:23" s="173" customFormat="1">
      <c r="A219" s="185"/>
      <c r="C219" s="193" t="s">
        <v>542</v>
      </c>
      <c r="D219" s="173" t="s">
        <v>548</v>
      </c>
      <c r="E219" s="173" t="s">
        <v>587</v>
      </c>
      <c r="F219" s="241" t="s">
        <v>705</v>
      </c>
      <c r="G219" s="173" t="s">
        <v>579</v>
      </c>
      <c r="H219" s="187">
        <v>70</v>
      </c>
      <c r="I219" s="180">
        <f t="shared" si="65"/>
        <v>74.900000000000006</v>
      </c>
      <c r="J219" s="188">
        <f t="shared" si="66"/>
        <v>75.775000000000006</v>
      </c>
      <c r="K219" s="188">
        <f t="shared" si="67"/>
        <v>0.875</v>
      </c>
      <c r="L219" s="188"/>
      <c r="M219" s="187">
        <v>20</v>
      </c>
      <c r="N219" s="188"/>
      <c r="O219" s="187">
        <v>27.06</v>
      </c>
      <c r="P219" s="187"/>
      <c r="Q219" s="189">
        <f t="shared" si="68"/>
        <v>122.83500000000001</v>
      </c>
      <c r="R219" s="190">
        <f t="shared" si="69"/>
        <v>780.00225</v>
      </c>
      <c r="S219" s="191">
        <v>780</v>
      </c>
      <c r="T219" s="192">
        <v>75.78</v>
      </c>
      <c r="U219" s="188"/>
      <c r="V219" s="232">
        <f>21+6</f>
        <v>27</v>
      </c>
      <c r="W219" s="231">
        <f>Q219+Q220+Q221-T219-T220-T221-V219</f>
        <v>84.198750000000032</v>
      </c>
    </row>
    <row r="220" spans="1:23" s="193" customFormat="1">
      <c r="A220" s="194"/>
      <c r="C220" s="193" t="s">
        <v>550</v>
      </c>
      <c r="D220" s="193" t="s">
        <v>551</v>
      </c>
      <c r="E220" s="173" t="s">
        <v>587</v>
      </c>
      <c r="F220" s="241"/>
      <c r="G220" s="173" t="s">
        <v>579</v>
      </c>
      <c r="H220" s="189">
        <v>99.5</v>
      </c>
      <c r="I220" s="180">
        <f t="shared" ref="I220:I221" si="70">H220*1.07</f>
        <v>106.465</v>
      </c>
      <c r="J220" s="180">
        <f t="shared" ref="J220:J221" si="71">H220*1.0825</f>
        <v>107.70874999999999</v>
      </c>
      <c r="K220" s="180">
        <f t="shared" ref="K220:K221" si="72">J220-I220</f>
        <v>1.2437499999999915</v>
      </c>
      <c r="L220" s="180"/>
      <c r="M220" s="189">
        <v>36</v>
      </c>
      <c r="N220" s="180"/>
      <c r="O220" s="189">
        <v>23.22</v>
      </c>
      <c r="P220" s="189"/>
      <c r="Q220" s="189">
        <f t="shared" ref="Q220:Q221" si="73">SUM(J220,M220,O220)</f>
        <v>166.92875000000001</v>
      </c>
      <c r="R220" s="195">
        <f t="shared" ref="R220:R221" si="74">Q220*6.35</f>
        <v>1059.9975625</v>
      </c>
      <c r="S220" s="191">
        <v>1060</v>
      </c>
      <c r="T220" s="196">
        <v>107.71</v>
      </c>
      <c r="U220" s="180"/>
      <c r="V220" s="232"/>
      <c r="W220" s="231"/>
    </row>
    <row r="221" spans="1:23" s="173" customFormat="1">
      <c r="A221" s="185"/>
      <c r="C221" s="193" t="s">
        <v>566</v>
      </c>
      <c r="D221" s="173" t="s">
        <v>565</v>
      </c>
      <c r="E221" s="173" t="s">
        <v>587</v>
      </c>
      <c r="F221" s="241"/>
      <c r="G221" s="173" t="s">
        <v>579</v>
      </c>
      <c r="H221" s="187">
        <f>22</f>
        <v>22</v>
      </c>
      <c r="I221" s="180">
        <f t="shared" si="70"/>
        <v>23.540000000000003</v>
      </c>
      <c r="J221" s="188">
        <f t="shared" si="71"/>
        <v>23.815000000000001</v>
      </c>
      <c r="K221" s="188">
        <f t="shared" si="72"/>
        <v>0.27499999999999858</v>
      </c>
      <c r="L221" s="188"/>
      <c r="M221" s="187"/>
      <c r="N221" s="188"/>
      <c r="O221" s="187">
        <v>0.6</v>
      </c>
      <c r="P221" s="187"/>
      <c r="Q221" s="189">
        <f t="shared" si="73"/>
        <v>24.415000000000003</v>
      </c>
      <c r="R221" s="190">
        <f t="shared" si="74"/>
        <v>155.03525000000002</v>
      </c>
      <c r="S221" s="191">
        <v>155</v>
      </c>
      <c r="T221" s="192">
        <v>19.489999999999998</v>
      </c>
      <c r="U221" s="188"/>
      <c r="V221" s="232"/>
      <c r="W221" s="231"/>
    </row>
    <row r="222" spans="1:23" s="122" customFormat="1">
      <c r="A222" s="121"/>
      <c r="C222" s="225" t="s">
        <v>532</v>
      </c>
      <c r="D222" s="122" t="s">
        <v>533</v>
      </c>
      <c r="E222" s="198" t="s">
        <v>563</v>
      </c>
      <c r="F222" s="242" t="s">
        <v>725</v>
      </c>
      <c r="G222" s="122" t="s">
        <v>556</v>
      </c>
      <c r="H222" s="189">
        <v>99.5</v>
      </c>
      <c r="I222" s="180">
        <f t="shared" si="63"/>
        <v>106.465</v>
      </c>
      <c r="J222" s="180">
        <f t="shared" si="58"/>
        <v>107.70874999999999</v>
      </c>
      <c r="K222" s="180">
        <f t="shared" si="47"/>
        <v>1.2437499999999915</v>
      </c>
      <c r="L222" s="180"/>
      <c r="M222" s="189">
        <v>36</v>
      </c>
      <c r="N222" s="180"/>
      <c r="O222" s="189">
        <v>29.52</v>
      </c>
      <c r="P222" s="189"/>
      <c r="Q222" s="189">
        <f t="shared" si="64"/>
        <v>173.22875000000002</v>
      </c>
      <c r="R222" s="195">
        <f t="shared" si="62"/>
        <v>1100.0025625000001</v>
      </c>
      <c r="S222" s="191">
        <v>1100</v>
      </c>
      <c r="T222" s="196">
        <v>107.71</v>
      </c>
      <c r="U222" s="180"/>
      <c r="V222" s="232">
        <f>27+6</f>
        <v>33</v>
      </c>
      <c r="W222" s="232">
        <f>Q222+Q223+Q224-T222-T223-T224-V222</f>
        <v>143.977925</v>
      </c>
    </row>
    <row r="223" spans="1:23" s="198" customFormat="1">
      <c r="A223" s="185"/>
      <c r="C223" s="225" t="s">
        <v>534</v>
      </c>
      <c r="D223" s="198" t="s">
        <v>535</v>
      </c>
      <c r="E223" s="198" t="s">
        <v>563</v>
      </c>
      <c r="F223" s="243"/>
      <c r="G223" s="122" t="s">
        <v>556</v>
      </c>
      <c r="H223" s="187">
        <v>93.37</v>
      </c>
      <c r="I223" s="180">
        <f t="shared" si="63"/>
        <v>99.905900000000017</v>
      </c>
      <c r="J223" s="188">
        <f t="shared" si="58"/>
        <v>101.073025</v>
      </c>
      <c r="K223" s="188">
        <f t="shared" si="47"/>
        <v>1.1671249999999844</v>
      </c>
      <c r="L223" s="188"/>
      <c r="M223" s="187">
        <v>36</v>
      </c>
      <c r="N223" s="188"/>
      <c r="O223" s="187">
        <v>67.66</v>
      </c>
      <c r="P223" s="187"/>
      <c r="Q223" s="189">
        <f t="shared" si="64"/>
        <v>204.733025</v>
      </c>
      <c r="R223" s="190">
        <f t="shared" si="62"/>
        <v>1300.0547087499999</v>
      </c>
      <c r="S223" s="191">
        <v>1300</v>
      </c>
      <c r="T223" s="192">
        <v>101.07</v>
      </c>
      <c r="U223" s="188"/>
      <c r="V223" s="232"/>
      <c r="W223" s="232"/>
    </row>
    <row r="224" spans="1:23" s="198" customFormat="1">
      <c r="A224" s="185"/>
      <c r="C224" s="225" t="s">
        <v>536</v>
      </c>
      <c r="D224" s="198" t="s">
        <v>535</v>
      </c>
      <c r="E224" s="198" t="s">
        <v>563</v>
      </c>
      <c r="F224" s="243"/>
      <c r="G224" s="122" t="s">
        <v>556</v>
      </c>
      <c r="H224" s="187">
        <v>14.62</v>
      </c>
      <c r="I224" s="180">
        <f t="shared" si="63"/>
        <v>15.6434</v>
      </c>
      <c r="J224" s="188">
        <f t="shared" si="58"/>
        <v>15.82615</v>
      </c>
      <c r="K224" s="188">
        <f t="shared" si="47"/>
        <v>0.18275000000000041</v>
      </c>
      <c r="L224" s="188"/>
      <c r="M224" s="187"/>
      <c r="N224" s="188"/>
      <c r="O224" s="187">
        <v>7.8</v>
      </c>
      <c r="P224" s="187"/>
      <c r="Q224" s="189">
        <f t="shared" si="64"/>
        <v>23.626149999999999</v>
      </c>
      <c r="R224" s="190">
        <f t="shared" si="62"/>
        <v>150.02605249999999</v>
      </c>
      <c r="S224" s="191">
        <v>150</v>
      </c>
      <c r="T224" s="192">
        <v>15.83</v>
      </c>
      <c r="U224" s="188"/>
      <c r="V224" s="232"/>
      <c r="W224" s="232"/>
    </row>
    <row r="225" spans="1:23" s="198" customFormat="1">
      <c r="A225" s="185"/>
      <c r="C225" s="225" t="s">
        <v>537</v>
      </c>
      <c r="D225" s="198" t="s">
        <v>535</v>
      </c>
      <c r="E225" s="198" t="s">
        <v>561</v>
      </c>
      <c r="F225" s="244" t="s">
        <v>654</v>
      </c>
      <c r="G225" s="122" t="s">
        <v>604</v>
      </c>
      <c r="H225" s="187">
        <v>179.25</v>
      </c>
      <c r="I225" s="180">
        <f t="shared" si="63"/>
        <v>191.79750000000001</v>
      </c>
      <c r="J225" s="188">
        <f t="shared" si="58"/>
        <v>194.03812500000001</v>
      </c>
      <c r="K225" s="188">
        <f t="shared" si="47"/>
        <v>2.2406249999999943</v>
      </c>
      <c r="L225" s="188"/>
      <c r="M225" s="187">
        <v>36</v>
      </c>
      <c r="N225" s="188"/>
      <c r="O225" s="187">
        <v>37.520000000000003</v>
      </c>
      <c r="P225" s="187"/>
      <c r="Q225" s="189">
        <f t="shared" si="64"/>
        <v>267.55812500000002</v>
      </c>
      <c r="R225" s="190">
        <f t="shared" si="62"/>
        <v>1698.99409375</v>
      </c>
      <c r="S225" s="191">
        <v>1699</v>
      </c>
      <c r="T225" s="192">
        <v>194.04</v>
      </c>
      <c r="U225" s="188"/>
      <c r="V225" s="232">
        <f>42+15</f>
        <v>57</v>
      </c>
      <c r="W225" s="231">
        <f>Q225+Q226+Q227-T225-T226-T227-V225</f>
        <v>145.29037500000007</v>
      </c>
    </row>
    <row r="226" spans="1:23" s="198" customFormat="1">
      <c r="A226" s="185"/>
      <c r="C226" s="225" t="s">
        <v>538</v>
      </c>
      <c r="D226" s="198" t="s">
        <v>539</v>
      </c>
      <c r="E226" s="198" t="s">
        <v>561</v>
      </c>
      <c r="F226" s="244"/>
      <c r="G226" s="122" t="s">
        <v>604</v>
      </c>
      <c r="H226" s="187">
        <v>149.80000000000001</v>
      </c>
      <c r="I226" s="180">
        <f t="shared" si="63"/>
        <v>160.28600000000003</v>
      </c>
      <c r="J226" s="188">
        <f t="shared" si="58"/>
        <v>162.1585</v>
      </c>
      <c r="K226" s="188">
        <f t="shared" si="47"/>
        <v>1.8724999999999739</v>
      </c>
      <c r="L226" s="188"/>
      <c r="M226" s="187">
        <v>36</v>
      </c>
      <c r="N226" s="188"/>
      <c r="O226" s="187">
        <v>16.02</v>
      </c>
      <c r="P226" s="187"/>
      <c r="Q226" s="189">
        <f t="shared" si="64"/>
        <v>214.17850000000001</v>
      </c>
      <c r="R226" s="190">
        <f t="shared" si="62"/>
        <v>1360.033475</v>
      </c>
      <c r="S226" s="191">
        <v>1360</v>
      </c>
      <c r="T226" s="192">
        <v>162.16</v>
      </c>
      <c r="U226" s="188"/>
      <c r="V226" s="232"/>
      <c r="W226" s="231"/>
    </row>
    <row r="227" spans="1:23" s="198" customFormat="1">
      <c r="A227" s="185"/>
      <c r="C227" s="225" t="s">
        <v>555</v>
      </c>
      <c r="D227" s="198" t="s">
        <v>539</v>
      </c>
      <c r="E227" s="198" t="s">
        <v>561</v>
      </c>
      <c r="F227" s="244"/>
      <c r="G227" s="122" t="s">
        <v>604</v>
      </c>
      <c r="H227" s="187">
        <v>149.5</v>
      </c>
      <c r="I227" s="180">
        <f t="shared" ref="I227" si="75">H227*1.07</f>
        <v>159.965</v>
      </c>
      <c r="J227" s="188">
        <f t="shared" ref="J227" si="76">H227*1.0825</f>
        <v>161.83375000000001</v>
      </c>
      <c r="K227" s="188">
        <f t="shared" ref="K227" si="77">J227-I227</f>
        <v>1.8687500000000057</v>
      </c>
      <c r="L227" s="188"/>
      <c r="M227" s="187">
        <v>36</v>
      </c>
      <c r="N227" s="188"/>
      <c r="O227" s="187">
        <v>40.75</v>
      </c>
      <c r="P227" s="187"/>
      <c r="Q227" s="189">
        <f t="shared" ref="Q227" si="78">SUM(J227,M227,O227)</f>
        <v>238.58375000000001</v>
      </c>
      <c r="R227" s="190">
        <f t="shared" ref="R227" si="79">Q227*6.35</f>
        <v>1515.0068125</v>
      </c>
      <c r="S227" s="191">
        <v>1515</v>
      </c>
      <c r="T227" s="192">
        <v>161.83000000000001</v>
      </c>
      <c r="U227" s="188"/>
      <c r="V227" s="232"/>
      <c r="W227" s="231"/>
    </row>
    <row r="228" spans="1:23" s="198" customFormat="1">
      <c r="A228" s="185"/>
      <c r="C228" s="225" t="s">
        <v>557</v>
      </c>
      <c r="D228" s="198" t="s">
        <v>540</v>
      </c>
      <c r="E228" s="198" t="s">
        <v>562</v>
      </c>
      <c r="F228" s="244" t="s">
        <v>706</v>
      </c>
      <c r="G228" s="122" t="s">
        <v>605</v>
      </c>
      <c r="H228" s="187">
        <v>110</v>
      </c>
      <c r="I228" s="180">
        <f t="shared" si="63"/>
        <v>117.7</v>
      </c>
      <c r="J228" s="188">
        <f t="shared" si="58"/>
        <v>119.075</v>
      </c>
      <c r="K228" s="188">
        <f t="shared" si="47"/>
        <v>1.375</v>
      </c>
      <c r="L228" s="188"/>
      <c r="M228" s="187">
        <v>36</v>
      </c>
      <c r="N228" s="188"/>
      <c r="O228" s="187">
        <v>26.03</v>
      </c>
      <c r="P228" s="187"/>
      <c r="Q228" s="189">
        <f t="shared" si="64"/>
        <v>181.10499999999999</v>
      </c>
      <c r="R228" s="190">
        <f t="shared" si="62"/>
        <v>1150.0167499999998</v>
      </c>
      <c r="S228" s="191">
        <v>1150</v>
      </c>
      <c r="T228" s="192">
        <v>119.075</v>
      </c>
      <c r="U228" s="188"/>
      <c r="V228" s="232">
        <f>27+6</f>
        <v>33</v>
      </c>
      <c r="W228" s="231">
        <f>Q228+Q229-T228-T229-V228</f>
        <v>98.145000000000039</v>
      </c>
    </row>
    <row r="229" spans="1:23" s="198" customFormat="1">
      <c r="A229" s="185"/>
      <c r="C229" s="225" t="s">
        <v>558</v>
      </c>
      <c r="D229" s="198" t="s">
        <v>541</v>
      </c>
      <c r="E229" s="198" t="s">
        <v>562</v>
      </c>
      <c r="F229" s="244"/>
      <c r="G229" s="122" t="s">
        <v>606</v>
      </c>
      <c r="H229" s="187">
        <v>118</v>
      </c>
      <c r="I229" s="180">
        <f t="shared" si="63"/>
        <v>126.26</v>
      </c>
      <c r="J229" s="188">
        <f t="shared" si="58"/>
        <v>127.735</v>
      </c>
      <c r="K229" s="188">
        <f t="shared" si="47"/>
        <v>1.4749999999999943</v>
      </c>
      <c r="L229" s="188"/>
      <c r="M229" s="187">
        <v>36</v>
      </c>
      <c r="N229" s="188"/>
      <c r="O229" s="187">
        <v>33.119999999999997</v>
      </c>
      <c r="P229" s="187"/>
      <c r="Q229" s="189">
        <f t="shared" si="64"/>
        <v>196.85500000000002</v>
      </c>
      <c r="R229" s="190">
        <f t="shared" si="62"/>
        <v>1250.02925</v>
      </c>
      <c r="S229" s="191">
        <v>1250</v>
      </c>
      <c r="T229" s="192">
        <v>127.74</v>
      </c>
      <c r="U229" s="188"/>
      <c r="V229" s="232"/>
      <c r="W229" s="231"/>
    </row>
    <row r="230" spans="1:23" s="198" customFormat="1">
      <c r="A230" s="185"/>
      <c r="C230" s="225" t="s">
        <v>559</v>
      </c>
      <c r="D230" s="198" t="s">
        <v>602</v>
      </c>
      <c r="E230" s="198" t="s">
        <v>603</v>
      </c>
      <c r="F230" s="244" t="s">
        <v>707</v>
      </c>
      <c r="G230" s="122" t="s">
        <v>607</v>
      </c>
      <c r="H230" s="187">
        <v>164.5</v>
      </c>
      <c r="I230" s="180">
        <f t="shared" si="63"/>
        <v>176.01500000000001</v>
      </c>
      <c r="J230" s="188">
        <f t="shared" si="58"/>
        <v>178.07124999999999</v>
      </c>
      <c r="K230" s="188">
        <f t="shared" si="47"/>
        <v>2.0562499999999773</v>
      </c>
      <c r="L230" s="188"/>
      <c r="M230" s="187">
        <v>15</v>
      </c>
      <c r="N230" s="188"/>
      <c r="O230" s="187">
        <v>20.32</v>
      </c>
      <c r="P230" s="187"/>
      <c r="Q230" s="189">
        <f t="shared" si="64"/>
        <v>213.39124999999999</v>
      </c>
      <c r="R230" s="190">
        <f t="shared" si="62"/>
        <v>1355.0344374999997</v>
      </c>
      <c r="S230" s="191">
        <v>1355</v>
      </c>
      <c r="T230" s="192">
        <v>176.01499999999999</v>
      </c>
      <c r="U230" s="188"/>
      <c r="V230" s="232">
        <f>18+12</f>
        <v>30</v>
      </c>
      <c r="W230" s="231">
        <f>Q230+Q231-T230-T231-V230</f>
        <v>44.752499999999998</v>
      </c>
    </row>
    <row r="231" spans="1:23" s="198" customFormat="1">
      <c r="A231" s="185"/>
      <c r="C231" s="225" t="s">
        <v>560</v>
      </c>
      <c r="D231" s="198" t="s">
        <v>602</v>
      </c>
      <c r="E231" s="198" t="s">
        <v>603</v>
      </c>
      <c r="F231" s="244"/>
      <c r="G231" s="122" t="s">
        <v>620</v>
      </c>
      <c r="H231" s="187">
        <v>164.5</v>
      </c>
      <c r="I231" s="180">
        <f t="shared" si="63"/>
        <v>176.01500000000001</v>
      </c>
      <c r="J231" s="188">
        <f t="shared" si="58"/>
        <v>178.07124999999999</v>
      </c>
      <c r="K231" s="188">
        <f t="shared" si="47"/>
        <v>2.0562499999999773</v>
      </c>
      <c r="L231" s="188"/>
      <c r="M231" s="187">
        <v>15</v>
      </c>
      <c r="N231" s="188"/>
      <c r="O231" s="187">
        <v>20.32</v>
      </c>
      <c r="P231" s="187"/>
      <c r="Q231" s="189">
        <f t="shared" si="64"/>
        <v>213.39124999999999</v>
      </c>
      <c r="R231" s="190">
        <f t="shared" si="62"/>
        <v>1355.0344374999997</v>
      </c>
      <c r="S231" s="191">
        <v>1355</v>
      </c>
      <c r="T231" s="192">
        <v>176.01499999999999</v>
      </c>
      <c r="U231" s="188"/>
      <c r="V231" s="232"/>
      <c r="W231" s="231"/>
    </row>
    <row r="232" spans="1:23" s="173" customFormat="1">
      <c r="A232" s="158"/>
      <c r="C232" s="225" t="s">
        <v>542</v>
      </c>
      <c r="D232" s="173" t="s">
        <v>543</v>
      </c>
      <c r="E232" s="173" t="s">
        <v>588</v>
      </c>
      <c r="F232" s="244" t="s">
        <v>655</v>
      </c>
      <c r="G232" s="186" t="s">
        <v>371</v>
      </c>
      <c r="H232" s="187">
        <v>70</v>
      </c>
      <c r="I232" s="180">
        <f t="shared" si="63"/>
        <v>74.900000000000006</v>
      </c>
      <c r="J232" s="188">
        <f t="shared" si="58"/>
        <v>75.775000000000006</v>
      </c>
      <c r="K232" s="188">
        <f t="shared" si="47"/>
        <v>0.875</v>
      </c>
      <c r="L232" s="188"/>
      <c r="M232" s="187">
        <v>20</v>
      </c>
      <c r="N232" s="188"/>
      <c r="O232" s="187">
        <v>27.06</v>
      </c>
      <c r="P232" s="187"/>
      <c r="Q232" s="189">
        <f t="shared" si="64"/>
        <v>122.83500000000001</v>
      </c>
      <c r="R232" s="190">
        <f t="shared" si="62"/>
        <v>780.00225</v>
      </c>
      <c r="S232" s="191">
        <v>780</v>
      </c>
      <c r="T232" s="192">
        <v>75.775000000000006</v>
      </c>
      <c r="U232" s="188"/>
      <c r="V232" s="232">
        <f>18+3</f>
        <v>21</v>
      </c>
      <c r="W232" s="231">
        <f>Q232+Q233-T232-T233-V232</f>
        <v>77.757500000000022</v>
      </c>
    </row>
    <row r="233" spans="1:23" s="173" customFormat="1">
      <c r="A233" s="185"/>
      <c r="C233" s="225" t="s">
        <v>567</v>
      </c>
      <c r="D233" s="173" t="s">
        <v>568</v>
      </c>
      <c r="E233" s="173" t="s">
        <v>588</v>
      </c>
      <c r="F233" s="244"/>
      <c r="G233" s="186" t="s">
        <v>371</v>
      </c>
      <c r="H233" s="187">
        <v>57</v>
      </c>
      <c r="I233" s="180">
        <f t="shared" si="63"/>
        <v>60.99</v>
      </c>
      <c r="J233" s="188">
        <f t="shared" si="58"/>
        <v>61.702500000000001</v>
      </c>
      <c r="K233" s="188">
        <f t="shared" si="47"/>
        <v>0.71249999999999858</v>
      </c>
      <c r="L233" s="188"/>
      <c r="M233" s="187">
        <v>20</v>
      </c>
      <c r="N233" s="188"/>
      <c r="O233" s="187">
        <v>31.69</v>
      </c>
      <c r="P233" s="187"/>
      <c r="Q233" s="189">
        <f t="shared" si="64"/>
        <v>113.3925</v>
      </c>
      <c r="R233" s="190">
        <f t="shared" si="62"/>
        <v>720.04237499999999</v>
      </c>
      <c r="S233" s="191">
        <v>720</v>
      </c>
      <c r="T233" s="192">
        <v>61.695</v>
      </c>
      <c r="U233" s="188"/>
      <c r="V233" s="232"/>
      <c r="W233" s="231"/>
    </row>
    <row r="234" spans="1:23" s="173" customFormat="1">
      <c r="A234" s="158"/>
      <c r="C234" s="225" t="s">
        <v>544</v>
      </c>
      <c r="D234" s="173" t="s">
        <v>545</v>
      </c>
      <c r="E234" s="173" t="s">
        <v>597</v>
      </c>
      <c r="F234" s="244" t="s">
        <v>663</v>
      </c>
      <c r="G234" s="186" t="s">
        <v>581</v>
      </c>
      <c r="H234" s="187">
        <v>79.5</v>
      </c>
      <c r="I234" s="180">
        <f t="shared" si="63"/>
        <v>85.065000000000012</v>
      </c>
      <c r="J234" s="188">
        <f t="shared" si="58"/>
        <v>86.058750000000003</v>
      </c>
      <c r="K234" s="188">
        <f t="shared" si="47"/>
        <v>0.99374999999999147</v>
      </c>
      <c r="L234" s="188"/>
      <c r="M234" s="187">
        <v>36</v>
      </c>
      <c r="N234" s="188"/>
      <c r="O234" s="187">
        <v>35.270000000000003</v>
      </c>
      <c r="P234" s="187"/>
      <c r="Q234" s="189">
        <f t="shared" si="64"/>
        <v>157.32875000000001</v>
      </c>
      <c r="R234" s="190">
        <f t="shared" si="62"/>
        <v>999.03756250000004</v>
      </c>
      <c r="S234" s="191">
        <v>999</v>
      </c>
      <c r="T234" s="192">
        <v>86.06</v>
      </c>
      <c r="U234" s="188" t="s">
        <v>591</v>
      </c>
      <c r="V234" s="232">
        <f>30+9</f>
        <v>39</v>
      </c>
      <c r="W234" s="231">
        <f>Q234+Q235+Q236-T234-T235-T236-V234</f>
        <v>132.82974999999999</v>
      </c>
    </row>
    <row r="235" spans="1:23" s="173" customFormat="1">
      <c r="A235" s="158"/>
      <c r="C235" s="225" t="s">
        <v>538</v>
      </c>
      <c r="D235" s="173" t="s">
        <v>545</v>
      </c>
      <c r="E235" s="173" t="s">
        <v>597</v>
      </c>
      <c r="F235" s="244"/>
      <c r="G235" s="186" t="s">
        <v>580</v>
      </c>
      <c r="H235" s="187">
        <v>149.80000000000001</v>
      </c>
      <c r="I235" s="180">
        <f t="shared" si="63"/>
        <v>160.28600000000003</v>
      </c>
      <c r="J235" s="188">
        <f t="shared" si="58"/>
        <v>162.1585</v>
      </c>
      <c r="K235" s="188">
        <f t="shared" si="47"/>
        <v>1.8724999999999739</v>
      </c>
      <c r="L235" s="188"/>
      <c r="M235" s="187">
        <v>36</v>
      </c>
      <c r="N235" s="188"/>
      <c r="O235" s="187">
        <v>16.02</v>
      </c>
      <c r="P235" s="187"/>
      <c r="Q235" s="189">
        <f t="shared" si="64"/>
        <v>214.17850000000001</v>
      </c>
      <c r="R235" s="190">
        <f t="shared" si="62"/>
        <v>1360.033475</v>
      </c>
      <c r="S235" s="191">
        <v>1360</v>
      </c>
      <c r="T235" s="192">
        <v>162.16</v>
      </c>
      <c r="U235" s="188"/>
      <c r="V235" s="232"/>
      <c r="W235" s="231"/>
    </row>
    <row r="236" spans="1:23" s="173" customFormat="1">
      <c r="A236" s="185"/>
      <c r="C236" s="225" t="s">
        <v>567</v>
      </c>
      <c r="D236" s="173" t="s">
        <v>545</v>
      </c>
      <c r="E236" s="173" t="s">
        <v>597</v>
      </c>
      <c r="F236" s="244"/>
      <c r="G236" s="186" t="s">
        <v>581</v>
      </c>
      <c r="H236" s="187">
        <v>57</v>
      </c>
      <c r="I236" s="180">
        <f t="shared" ref="I236" si="80">H236*1.07</f>
        <v>60.99</v>
      </c>
      <c r="J236" s="188">
        <f t="shared" ref="J236" si="81">H236*1.0825</f>
        <v>61.702500000000001</v>
      </c>
      <c r="K236" s="188">
        <f t="shared" ref="K236" si="82">J236-I236</f>
        <v>0.71249999999999858</v>
      </c>
      <c r="L236" s="188"/>
      <c r="M236" s="187">
        <v>20</v>
      </c>
      <c r="N236" s="188"/>
      <c r="O236" s="187">
        <v>28.54</v>
      </c>
      <c r="P236" s="187"/>
      <c r="Q236" s="189">
        <f t="shared" ref="Q236" si="83">SUM(J236,M236,O236)</f>
        <v>110.24250000000001</v>
      </c>
      <c r="R236" s="190">
        <f t="shared" ref="R236" si="84">Q236*6.35</f>
        <v>700.03987500000005</v>
      </c>
      <c r="S236" s="191">
        <v>700</v>
      </c>
      <c r="T236" s="192">
        <v>61.7</v>
      </c>
      <c r="U236" s="188"/>
      <c r="V236" s="232"/>
      <c r="W236" s="231"/>
    </row>
    <row r="237" spans="1:23" s="173" customFormat="1">
      <c r="A237" s="158"/>
      <c r="C237" s="225" t="s">
        <v>558</v>
      </c>
      <c r="D237" s="173" t="s">
        <v>546</v>
      </c>
      <c r="E237" s="173" t="s">
        <v>595</v>
      </c>
      <c r="F237" s="245" t="s">
        <v>656</v>
      </c>
      <c r="G237" s="199" t="s">
        <v>593</v>
      </c>
      <c r="H237" s="200">
        <v>118</v>
      </c>
      <c r="I237" s="182">
        <f t="shared" si="63"/>
        <v>126.26</v>
      </c>
      <c r="J237" s="183">
        <f t="shared" si="58"/>
        <v>127.735</v>
      </c>
      <c r="K237" s="183">
        <f t="shared" si="47"/>
        <v>1.4749999999999943</v>
      </c>
      <c r="L237" s="183"/>
      <c r="M237" s="200">
        <v>36</v>
      </c>
      <c r="N237" s="183"/>
      <c r="O237" s="200">
        <v>25.25</v>
      </c>
      <c r="P237" s="200"/>
      <c r="Q237" s="123">
        <f t="shared" si="64"/>
        <v>188.98500000000001</v>
      </c>
      <c r="R237" s="201">
        <f t="shared" si="62"/>
        <v>1200.05475</v>
      </c>
      <c r="S237" s="137">
        <v>1200</v>
      </c>
      <c r="T237" s="202">
        <v>127.74</v>
      </c>
      <c r="U237" s="183"/>
      <c r="V237" s="232">
        <f>33+6</f>
        <v>39</v>
      </c>
      <c r="W237" s="237">
        <f>Q237+Q238-T237-T238-V237</f>
        <v>83.490000000000023</v>
      </c>
    </row>
    <row r="238" spans="1:23" s="173" customFormat="1">
      <c r="A238" s="158"/>
      <c r="C238" s="225" t="s">
        <v>558</v>
      </c>
      <c r="D238" s="173" t="s">
        <v>546</v>
      </c>
      <c r="E238" s="173" t="s">
        <v>595</v>
      </c>
      <c r="F238" s="245"/>
      <c r="G238" s="199" t="s">
        <v>594</v>
      </c>
      <c r="H238" s="200">
        <v>118</v>
      </c>
      <c r="I238" s="182">
        <f t="shared" si="63"/>
        <v>126.26</v>
      </c>
      <c r="J238" s="183">
        <f t="shared" si="58"/>
        <v>127.735</v>
      </c>
      <c r="K238" s="183">
        <f t="shared" si="47"/>
        <v>1.4749999999999943</v>
      </c>
      <c r="L238" s="183"/>
      <c r="M238" s="200">
        <v>36</v>
      </c>
      <c r="N238" s="183"/>
      <c r="O238" s="200">
        <v>25.25</v>
      </c>
      <c r="P238" s="200"/>
      <c r="Q238" s="123">
        <f t="shared" si="64"/>
        <v>188.98500000000001</v>
      </c>
      <c r="R238" s="201">
        <f t="shared" si="62"/>
        <v>1200.05475</v>
      </c>
      <c r="S238" s="137">
        <v>1200</v>
      </c>
      <c r="T238" s="202">
        <v>127.74</v>
      </c>
      <c r="U238" s="183"/>
      <c r="V238" s="232"/>
      <c r="W238" s="237"/>
    </row>
    <row r="239" spans="1:23" s="173" customFormat="1">
      <c r="A239" s="158"/>
      <c r="C239" s="225" t="s">
        <v>558</v>
      </c>
      <c r="D239" s="173" t="s">
        <v>547</v>
      </c>
      <c r="E239" s="173" t="s">
        <v>589</v>
      </c>
      <c r="F239" s="244" t="s">
        <v>657</v>
      </c>
      <c r="G239" s="173" t="s">
        <v>441</v>
      </c>
      <c r="H239" s="187">
        <v>118</v>
      </c>
      <c r="I239" s="180">
        <f t="shared" si="63"/>
        <v>126.26</v>
      </c>
      <c r="J239" s="188">
        <f t="shared" si="58"/>
        <v>127.735</v>
      </c>
      <c r="K239" s="188">
        <f t="shared" si="47"/>
        <v>1.4749999999999943</v>
      </c>
      <c r="L239" s="188"/>
      <c r="M239" s="187">
        <v>36</v>
      </c>
      <c r="N239" s="188"/>
      <c r="O239" s="187">
        <v>25.25</v>
      </c>
      <c r="P239" s="187"/>
      <c r="Q239" s="189">
        <f t="shared" si="64"/>
        <v>188.98500000000001</v>
      </c>
      <c r="R239" s="190">
        <f t="shared" si="62"/>
        <v>1200.05475</v>
      </c>
      <c r="S239" s="191">
        <v>1200</v>
      </c>
      <c r="T239" s="192">
        <v>127.74</v>
      </c>
      <c r="U239" s="188" t="s">
        <v>591</v>
      </c>
      <c r="V239" s="232">
        <f>30+9</f>
        <v>39</v>
      </c>
      <c r="W239" s="231">
        <f>Q239+Q240+Q241-T239-T241-T240-V239</f>
        <v>89.603750000000019</v>
      </c>
    </row>
    <row r="240" spans="1:23" s="173" customFormat="1">
      <c r="A240" s="158"/>
      <c r="C240" s="225" t="s">
        <v>582</v>
      </c>
      <c r="D240" s="173" t="s">
        <v>583</v>
      </c>
      <c r="E240" s="173" t="s">
        <v>610</v>
      </c>
      <c r="F240" s="244"/>
      <c r="G240" s="173" t="s">
        <v>441</v>
      </c>
      <c r="H240" s="187">
        <v>49.5</v>
      </c>
      <c r="I240" s="180">
        <f t="shared" si="63"/>
        <v>52.965000000000003</v>
      </c>
      <c r="J240" s="188">
        <f t="shared" si="58"/>
        <v>53.583750000000002</v>
      </c>
      <c r="K240" s="188">
        <f t="shared" si="47"/>
        <v>0.61874999999999858</v>
      </c>
      <c r="L240" s="188"/>
      <c r="M240" s="187"/>
      <c r="N240" s="188"/>
      <c r="O240" s="187">
        <v>5.5</v>
      </c>
      <c r="P240" s="187"/>
      <c r="Q240" s="189">
        <f t="shared" si="64"/>
        <v>59.083750000000002</v>
      </c>
      <c r="R240" s="190">
        <f t="shared" si="62"/>
        <v>375.18181249999998</v>
      </c>
      <c r="S240" s="191">
        <v>375</v>
      </c>
      <c r="T240" s="192">
        <v>52.97</v>
      </c>
      <c r="U240" s="188"/>
      <c r="V240" s="232"/>
      <c r="W240" s="231"/>
    </row>
    <row r="241" spans="1:23" s="173" customFormat="1">
      <c r="A241" s="185"/>
      <c r="C241" s="225" t="s">
        <v>558</v>
      </c>
      <c r="D241" s="173" t="s">
        <v>549</v>
      </c>
      <c r="E241" s="173" t="s">
        <v>589</v>
      </c>
      <c r="F241" s="244"/>
      <c r="G241" s="173" t="s">
        <v>441</v>
      </c>
      <c r="H241" s="187">
        <v>118</v>
      </c>
      <c r="I241" s="180">
        <f t="shared" ref="I241" si="85">H241*1.07</f>
        <v>126.26</v>
      </c>
      <c r="J241" s="188">
        <f t="shared" ref="J241" si="86">H241*1.0825</f>
        <v>127.735</v>
      </c>
      <c r="K241" s="188">
        <f t="shared" ref="K241" si="87">J241-I241</f>
        <v>1.4749999999999943</v>
      </c>
      <c r="L241" s="188"/>
      <c r="M241" s="187">
        <v>36</v>
      </c>
      <c r="N241" s="188"/>
      <c r="O241" s="187">
        <v>25.25</v>
      </c>
      <c r="P241" s="187"/>
      <c r="Q241" s="189">
        <f t="shared" ref="Q241" si="88">SUM(J241,M241,O241)</f>
        <v>188.98500000000001</v>
      </c>
      <c r="R241" s="190">
        <f t="shared" ref="R241" si="89">Q241*6.35</f>
        <v>1200.05475</v>
      </c>
      <c r="S241" s="191">
        <v>1200</v>
      </c>
      <c r="T241" s="192">
        <v>127.74</v>
      </c>
      <c r="U241" s="188"/>
      <c r="V241" s="232"/>
      <c r="W241" s="231"/>
    </row>
    <row r="242" spans="1:23" s="173" customFormat="1">
      <c r="A242" s="158"/>
      <c r="C242" s="122" t="s">
        <v>553</v>
      </c>
      <c r="D242" s="173" t="s">
        <v>552</v>
      </c>
      <c r="E242" s="173" t="s">
        <v>576</v>
      </c>
      <c r="F242" s="241" t="s">
        <v>732</v>
      </c>
      <c r="G242" s="173" t="s">
        <v>577</v>
      </c>
      <c r="H242" s="187">
        <v>95.6</v>
      </c>
      <c r="I242" s="180">
        <f t="shared" si="63"/>
        <v>102.292</v>
      </c>
      <c r="J242" s="188">
        <f t="shared" si="58"/>
        <v>103.48699999999999</v>
      </c>
      <c r="K242" s="188">
        <f t="shared" si="47"/>
        <v>1.1949999999999932</v>
      </c>
      <c r="L242" s="188"/>
      <c r="M242" s="187">
        <v>15</v>
      </c>
      <c r="N242" s="188"/>
      <c r="O242" s="187">
        <v>2.8</v>
      </c>
      <c r="P242" s="187"/>
      <c r="Q242" s="189">
        <f t="shared" si="64"/>
        <v>121.28699999999999</v>
      </c>
      <c r="R242" s="190">
        <f t="shared" si="62"/>
        <v>770.17244999999991</v>
      </c>
      <c r="S242" s="191">
        <v>770</v>
      </c>
      <c r="T242" s="192">
        <v>103.49</v>
      </c>
      <c r="U242" s="188"/>
      <c r="V242" s="232">
        <f>30+12</f>
        <v>42</v>
      </c>
      <c r="W242" s="231">
        <f>SUM(Q242:Q246)-SUM(T242:T246)-V242</f>
        <v>82.224499999999978</v>
      </c>
    </row>
    <row r="243" spans="1:23" s="173" customFormat="1">
      <c r="A243" s="185"/>
      <c r="C243" s="122" t="s">
        <v>564</v>
      </c>
      <c r="D243" s="173" t="s">
        <v>565</v>
      </c>
      <c r="E243" s="173" t="s">
        <v>576</v>
      </c>
      <c r="F243" s="241"/>
      <c r="G243" s="173" t="s">
        <v>577</v>
      </c>
      <c r="H243" s="187">
        <f>22*2</f>
        <v>44</v>
      </c>
      <c r="I243" s="180">
        <f t="shared" si="63"/>
        <v>47.080000000000005</v>
      </c>
      <c r="J243" s="188">
        <f t="shared" si="58"/>
        <v>47.63</v>
      </c>
      <c r="K243" s="188">
        <f t="shared" si="47"/>
        <v>0.54999999999999716</v>
      </c>
      <c r="L243" s="188"/>
      <c r="M243" s="187">
        <v>12</v>
      </c>
      <c r="N243" s="188"/>
      <c r="O243" s="187">
        <v>1.79</v>
      </c>
      <c r="P243" s="187"/>
      <c r="Q243" s="189">
        <f t="shared" si="64"/>
        <v>61.42</v>
      </c>
      <c r="R243" s="190">
        <f t="shared" si="62"/>
        <v>390.017</v>
      </c>
      <c r="S243" s="191">
        <v>390</v>
      </c>
      <c r="T243" s="192">
        <v>38.979999999999997</v>
      </c>
      <c r="U243" s="188"/>
      <c r="V243" s="232"/>
      <c r="W243" s="231"/>
    </row>
    <row r="244" spans="1:23" s="173" customFormat="1">
      <c r="A244" s="185"/>
      <c r="C244" s="122" t="s">
        <v>571</v>
      </c>
      <c r="D244" s="173" t="s">
        <v>565</v>
      </c>
      <c r="E244" s="173" t="s">
        <v>576</v>
      </c>
      <c r="F244" s="241"/>
      <c r="G244" s="173" t="s">
        <v>577</v>
      </c>
      <c r="H244" s="187">
        <f>26.5*2</f>
        <v>53</v>
      </c>
      <c r="I244" s="180">
        <f t="shared" ref="I244:I245" si="90">H244*1.07</f>
        <v>56.71</v>
      </c>
      <c r="J244" s="188">
        <f t="shared" ref="J244:J245" si="91">H244*1.0825</f>
        <v>57.372500000000002</v>
      </c>
      <c r="K244" s="188">
        <f t="shared" ref="K244:K245" si="92">J244-I244</f>
        <v>0.66250000000000142</v>
      </c>
      <c r="L244" s="188"/>
      <c r="M244" s="187"/>
      <c r="N244" s="188"/>
      <c r="O244" s="187">
        <v>0.9</v>
      </c>
      <c r="P244" s="187"/>
      <c r="Q244" s="189">
        <f t="shared" ref="Q244:Q245" si="93">SUM(J244,M244,O244)</f>
        <v>58.272500000000001</v>
      </c>
      <c r="R244" s="190">
        <f t="shared" ref="R244:R245" si="94">Q244*6.35</f>
        <v>370.03037499999999</v>
      </c>
      <c r="S244" s="191">
        <v>370</v>
      </c>
      <c r="T244" s="192">
        <v>43.02</v>
      </c>
      <c r="U244" s="188"/>
      <c r="V244" s="232"/>
      <c r="W244" s="231"/>
    </row>
    <row r="245" spans="1:23" s="173" customFormat="1">
      <c r="A245" s="185"/>
      <c r="C245" s="122" t="s">
        <v>575</v>
      </c>
      <c r="D245" s="173" t="s">
        <v>574</v>
      </c>
      <c r="E245" s="173" t="s">
        <v>576</v>
      </c>
      <c r="F245" s="241"/>
      <c r="G245" s="173" t="s">
        <v>578</v>
      </c>
      <c r="H245" s="187">
        <v>142</v>
      </c>
      <c r="I245" s="180">
        <f t="shared" si="90"/>
        <v>151.94</v>
      </c>
      <c r="J245" s="188">
        <f t="shared" si="91"/>
        <v>153.715</v>
      </c>
      <c r="K245" s="188">
        <f t="shared" si="92"/>
        <v>1.7750000000000057</v>
      </c>
      <c r="L245" s="188"/>
      <c r="M245" s="187">
        <v>36</v>
      </c>
      <c r="N245" s="188"/>
      <c r="O245" s="187">
        <v>22.89</v>
      </c>
      <c r="P245" s="187"/>
      <c r="Q245" s="189">
        <f t="shared" si="93"/>
        <v>212.60500000000002</v>
      </c>
      <c r="R245" s="190">
        <f t="shared" si="94"/>
        <v>1350.0417500000001</v>
      </c>
      <c r="S245" s="191">
        <v>1350</v>
      </c>
      <c r="T245" s="192">
        <v>153.72</v>
      </c>
      <c r="U245" s="188" t="s">
        <v>591</v>
      </c>
      <c r="V245" s="232"/>
      <c r="W245" s="231"/>
    </row>
    <row r="246" spans="1:23" s="173" customFormat="1">
      <c r="A246" s="185"/>
      <c r="C246" s="122" t="s">
        <v>564</v>
      </c>
      <c r="D246" s="173" t="s">
        <v>565</v>
      </c>
      <c r="E246" s="173" t="s">
        <v>576</v>
      </c>
      <c r="F246" s="241"/>
      <c r="G246" s="173" t="s">
        <v>578</v>
      </c>
      <c r="H246" s="187">
        <f>22*2</f>
        <v>44</v>
      </c>
      <c r="I246" s="180">
        <f t="shared" ref="I246" si="95">H246*1.07</f>
        <v>47.080000000000005</v>
      </c>
      <c r="J246" s="188">
        <f t="shared" ref="J246" si="96">H246*1.0825</f>
        <v>47.63</v>
      </c>
      <c r="K246" s="188">
        <f t="shared" ref="K246" si="97">J246-I246</f>
        <v>0.54999999999999716</v>
      </c>
      <c r="L246" s="188"/>
      <c r="M246" s="187"/>
      <c r="N246" s="188"/>
      <c r="O246" s="187">
        <v>1.2</v>
      </c>
      <c r="P246" s="187"/>
      <c r="Q246" s="189">
        <f t="shared" ref="Q246" si="98">SUM(J246,M246,O246)</f>
        <v>48.830000000000005</v>
      </c>
      <c r="R246" s="190">
        <f t="shared" ref="R246" si="99">Q246*6.35</f>
        <v>310.07050000000004</v>
      </c>
      <c r="S246" s="191">
        <v>310</v>
      </c>
      <c r="T246" s="192">
        <v>38.979999999999997</v>
      </c>
      <c r="U246" s="188"/>
      <c r="V246" s="232"/>
      <c r="W246" s="231"/>
    </row>
    <row r="247" spans="1:23" s="173" customFormat="1">
      <c r="A247" s="158"/>
      <c r="C247" s="225" t="s">
        <v>558</v>
      </c>
      <c r="D247" s="173" t="s">
        <v>572</v>
      </c>
      <c r="E247" s="173" t="s">
        <v>601</v>
      </c>
      <c r="F247" s="217" t="s">
        <v>658</v>
      </c>
      <c r="G247" s="199" t="s">
        <v>592</v>
      </c>
      <c r="H247" s="200">
        <v>118</v>
      </c>
      <c r="I247" s="182">
        <f t="shared" ref="I247" si="100">H247*1.07</f>
        <v>126.26</v>
      </c>
      <c r="J247" s="183">
        <f t="shared" ref="J247" si="101">H247*1.0825</f>
        <v>127.735</v>
      </c>
      <c r="K247" s="183">
        <f t="shared" ref="K247" si="102">J247-I247</f>
        <v>1.4749999999999943</v>
      </c>
      <c r="L247" s="183"/>
      <c r="M247" s="200">
        <v>36</v>
      </c>
      <c r="N247" s="183"/>
      <c r="O247" s="200">
        <v>33.119999999999997</v>
      </c>
      <c r="P247" s="200"/>
      <c r="Q247" s="123">
        <f t="shared" ref="Q247" si="103">SUM(J247,M247,O247)</f>
        <v>196.85500000000002</v>
      </c>
      <c r="R247" s="201">
        <f t="shared" ref="R247" si="104">Q247*6.35</f>
        <v>1250.02925</v>
      </c>
      <c r="S247" s="137">
        <v>1250</v>
      </c>
      <c r="T247" s="202">
        <v>127.74</v>
      </c>
      <c r="U247" s="183"/>
      <c r="V247" s="180">
        <f>18+3</f>
        <v>21</v>
      </c>
      <c r="W247" s="183">
        <f>Q247-T247-V247</f>
        <v>48.115000000000023</v>
      </c>
    </row>
    <row r="248" spans="1:23" s="173" customFormat="1">
      <c r="A248" s="158"/>
      <c r="C248" s="225" t="s">
        <v>558</v>
      </c>
      <c r="D248" s="173" t="s">
        <v>573</v>
      </c>
      <c r="E248" s="173" t="s">
        <v>585</v>
      </c>
      <c r="F248" s="217" t="s">
        <v>659</v>
      </c>
      <c r="G248" s="173" t="s">
        <v>473</v>
      </c>
      <c r="H248" s="187">
        <v>118</v>
      </c>
      <c r="I248" s="180">
        <f t="shared" ref="I248:I249" si="105">H248*1.07</f>
        <v>126.26</v>
      </c>
      <c r="J248" s="188">
        <f t="shared" ref="J248:J249" si="106">H248*1.0825</f>
        <v>127.735</v>
      </c>
      <c r="K248" s="188">
        <f t="shared" ref="K248:K249" si="107">J248-I248</f>
        <v>1.4749999999999943</v>
      </c>
      <c r="L248" s="188"/>
      <c r="M248" s="187">
        <v>36</v>
      </c>
      <c r="N248" s="188"/>
      <c r="O248" s="187">
        <v>17.37</v>
      </c>
      <c r="P248" s="187"/>
      <c r="Q248" s="189">
        <f t="shared" ref="Q248:Q249" si="108">SUM(J248,M248,O248)</f>
        <v>181.10500000000002</v>
      </c>
      <c r="R248" s="190">
        <f t="shared" ref="R248:R249" si="109">Q248*6.35</f>
        <v>1150.01675</v>
      </c>
      <c r="S248" s="191">
        <v>1150</v>
      </c>
      <c r="T248" s="192">
        <v>127.74</v>
      </c>
      <c r="U248" s="188"/>
      <c r="V248" s="180">
        <f>18+3</f>
        <v>21</v>
      </c>
      <c r="W248" s="188">
        <f>Q248-T248-V248</f>
        <v>32.365000000000023</v>
      </c>
    </row>
    <row r="249" spans="1:23" s="173" customFormat="1">
      <c r="A249" s="158"/>
      <c r="C249" s="225" t="s">
        <v>575</v>
      </c>
      <c r="D249" s="173" t="s">
        <v>569</v>
      </c>
      <c r="E249" s="173" t="s">
        <v>596</v>
      </c>
      <c r="F249" s="217" t="s">
        <v>660</v>
      </c>
      <c r="G249" s="173" t="s">
        <v>478</v>
      </c>
      <c r="H249" s="187">
        <v>142</v>
      </c>
      <c r="I249" s="180">
        <f t="shared" si="105"/>
        <v>151.94</v>
      </c>
      <c r="J249" s="188">
        <f t="shared" si="106"/>
        <v>153.715</v>
      </c>
      <c r="K249" s="188">
        <f t="shared" si="107"/>
        <v>1.7750000000000057</v>
      </c>
      <c r="L249" s="188"/>
      <c r="M249" s="187">
        <v>36</v>
      </c>
      <c r="N249" s="188"/>
      <c r="O249" s="187">
        <v>22.89</v>
      </c>
      <c r="P249" s="187"/>
      <c r="Q249" s="189">
        <f t="shared" si="108"/>
        <v>212.60500000000002</v>
      </c>
      <c r="R249" s="190">
        <f t="shared" si="109"/>
        <v>1350.0417500000001</v>
      </c>
      <c r="S249" s="191">
        <v>1350</v>
      </c>
      <c r="T249" s="192">
        <v>153.72</v>
      </c>
      <c r="U249" s="188"/>
      <c r="V249" s="180">
        <f>18+3</f>
        <v>21</v>
      </c>
      <c r="W249" s="188">
        <f>Q249-T249-V249</f>
        <v>37.885000000000019</v>
      </c>
    </row>
    <row r="250" spans="1:23" s="173" customFormat="1">
      <c r="A250" s="158"/>
      <c r="C250" s="122" t="s">
        <v>600</v>
      </c>
      <c r="D250" s="173" t="s">
        <v>570</v>
      </c>
      <c r="E250" s="173" t="s">
        <v>598</v>
      </c>
      <c r="F250" s="226" t="s">
        <v>708</v>
      </c>
      <c r="G250" s="173" t="s">
        <v>599</v>
      </c>
      <c r="H250" s="200">
        <v>118</v>
      </c>
      <c r="I250" s="182">
        <f t="shared" ref="I250" si="110">H250*1.07</f>
        <v>126.26</v>
      </c>
      <c r="J250" s="183">
        <f t="shared" ref="J250" si="111">H250*1.0825</f>
        <v>127.735</v>
      </c>
      <c r="K250" s="183">
        <f t="shared" ref="K250" si="112">J250-I250</f>
        <v>1.4749999999999943</v>
      </c>
      <c r="L250" s="183"/>
      <c r="M250" s="200">
        <v>36</v>
      </c>
      <c r="N250" s="183"/>
      <c r="O250" s="200">
        <v>17.37</v>
      </c>
      <c r="P250" s="200"/>
      <c r="Q250" s="123">
        <f t="shared" ref="Q250" si="113">SUM(J250,M250,O250)</f>
        <v>181.10500000000002</v>
      </c>
      <c r="R250" s="201">
        <f t="shared" ref="R250" si="114">Q250*6.35</f>
        <v>1150.01675</v>
      </c>
      <c r="S250" s="137">
        <v>1150</v>
      </c>
      <c r="T250" s="202">
        <v>127.74</v>
      </c>
      <c r="U250" s="183"/>
      <c r="V250" s="180">
        <f>18+3</f>
        <v>21</v>
      </c>
      <c r="W250" s="183">
        <f>Q250-T250-V250</f>
        <v>32.365000000000023</v>
      </c>
    </row>
    <row r="251" spans="1:23" s="173" customFormat="1">
      <c r="A251" s="158"/>
      <c r="C251" s="225" t="s">
        <v>608</v>
      </c>
      <c r="D251" s="173" t="s">
        <v>602</v>
      </c>
      <c r="E251" s="173" t="s">
        <v>603</v>
      </c>
      <c r="F251" s="245" t="s">
        <v>661</v>
      </c>
      <c r="G251" s="31" t="s">
        <v>728</v>
      </c>
      <c r="H251" s="200">
        <v>237.65</v>
      </c>
      <c r="I251" s="182">
        <f t="shared" si="63"/>
        <v>254.28550000000001</v>
      </c>
      <c r="J251" s="183">
        <f t="shared" si="58"/>
        <v>257.256125</v>
      </c>
      <c r="K251" s="183">
        <f t="shared" si="47"/>
        <v>2.9706249999999841</v>
      </c>
      <c r="L251" s="183"/>
      <c r="M251" s="200"/>
      <c r="N251" s="183"/>
      <c r="O251" s="200">
        <v>25.74</v>
      </c>
      <c r="P251" s="200"/>
      <c r="Q251" s="123">
        <f t="shared" si="64"/>
        <v>282.99612500000001</v>
      </c>
      <c r="R251" s="201">
        <f t="shared" si="62"/>
        <v>1797.0253937499999</v>
      </c>
      <c r="S251" s="137">
        <v>1797</v>
      </c>
      <c r="T251" s="202">
        <v>254.29</v>
      </c>
      <c r="U251" s="237" t="s">
        <v>645</v>
      </c>
      <c r="V251" s="232">
        <f>27+12</f>
        <v>39</v>
      </c>
      <c r="W251" s="237">
        <f>Q251+Q252-T251-T252</f>
        <v>45.327374999999989</v>
      </c>
    </row>
    <row r="252" spans="1:23" s="173" customFormat="1">
      <c r="A252" s="158"/>
      <c r="C252" s="225" t="s">
        <v>609</v>
      </c>
      <c r="D252" s="173" t="s">
        <v>602</v>
      </c>
      <c r="E252" s="173" t="s">
        <v>603</v>
      </c>
      <c r="F252" s="245"/>
      <c r="G252" s="31" t="s">
        <v>229</v>
      </c>
      <c r="H252" s="200">
        <v>136.5</v>
      </c>
      <c r="I252" s="182">
        <f t="shared" si="63"/>
        <v>146.05500000000001</v>
      </c>
      <c r="J252" s="183">
        <f t="shared" si="58"/>
        <v>147.76124999999999</v>
      </c>
      <c r="K252" s="183">
        <f t="shared" si="47"/>
        <v>1.7062499999999829</v>
      </c>
      <c r="L252" s="183"/>
      <c r="M252" s="200"/>
      <c r="N252" s="183"/>
      <c r="O252" s="200">
        <v>14.92</v>
      </c>
      <c r="P252" s="200"/>
      <c r="Q252" s="123">
        <f t="shared" si="64"/>
        <v>162.68124999999998</v>
      </c>
      <c r="R252" s="201">
        <f t="shared" si="62"/>
        <v>1033.0259374999998</v>
      </c>
      <c r="S252" s="137">
        <v>1033</v>
      </c>
      <c r="T252" s="202">
        <v>146.06</v>
      </c>
      <c r="U252" s="237"/>
      <c r="V252" s="232"/>
      <c r="W252" s="237"/>
    </row>
    <row r="253" spans="1:23" s="173" customFormat="1">
      <c r="A253" s="158"/>
      <c r="C253" s="225" t="s">
        <v>611</v>
      </c>
      <c r="D253" s="173" t="s">
        <v>613</v>
      </c>
      <c r="E253" s="173" t="s">
        <v>612</v>
      </c>
      <c r="F253" s="245" t="s">
        <v>662</v>
      </c>
      <c r="G253" s="236" t="s">
        <v>617</v>
      </c>
      <c r="H253" s="200">
        <v>199.5</v>
      </c>
      <c r="I253" s="182">
        <f t="shared" si="63"/>
        <v>213.465</v>
      </c>
      <c r="J253" s="183">
        <f t="shared" si="58"/>
        <v>215.95875000000001</v>
      </c>
      <c r="K253" s="183">
        <f t="shared" si="47"/>
        <v>2.4937500000000057</v>
      </c>
      <c r="L253" s="183"/>
      <c r="M253" s="200">
        <v>40</v>
      </c>
      <c r="N253" s="183"/>
      <c r="O253" s="200">
        <v>25.94</v>
      </c>
      <c r="P253" s="200"/>
      <c r="Q253" s="123">
        <f t="shared" si="64"/>
        <v>281.89875000000001</v>
      </c>
      <c r="R253" s="201">
        <f t="shared" si="62"/>
        <v>1790.0570625</v>
      </c>
      <c r="S253" s="137">
        <v>1790</v>
      </c>
      <c r="T253" s="202">
        <v>213.47</v>
      </c>
      <c r="U253" s="183"/>
      <c r="V253" s="232">
        <v>36</v>
      </c>
      <c r="W253" s="237">
        <f>Q253+Q254-T253-T254-V253</f>
        <v>46.628750000000011</v>
      </c>
    </row>
    <row r="254" spans="1:23" s="173" customFormat="1">
      <c r="A254" s="158"/>
      <c r="C254" s="225" t="s">
        <v>614</v>
      </c>
      <c r="D254" s="173" t="s">
        <v>613</v>
      </c>
      <c r="E254" s="173" t="s">
        <v>612</v>
      </c>
      <c r="F254" s="245"/>
      <c r="G254" s="236"/>
      <c r="H254" s="200">
        <v>64</v>
      </c>
      <c r="I254" s="182">
        <f t="shared" si="63"/>
        <v>68.48</v>
      </c>
      <c r="J254" s="183">
        <f t="shared" si="58"/>
        <v>69.28</v>
      </c>
      <c r="K254" s="183">
        <f t="shared" si="47"/>
        <v>0.79999999999999716</v>
      </c>
      <c r="L254" s="183"/>
      <c r="M254" s="200">
        <v>6</v>
      </c>
      <c r="N254" s="183"/>
      <c r="O254" s="200">
        <v>7.4</v>
      </c>
      <c r="P254" s="200"/>
      <c r="Q254" s="123">
        <f t="shared" si="64"/>
        <v>82.68</v>
      </c>
      <c r="R254" s="201">
        <f t="shared" si="62"/>
        <v>525.01800000000003</v>
      </c>
      <c r="S254" s="137">
        <v>525</v>
      </c>
      <c r="T254" s="202">
        <v>68.48</v>
      </c>
      <c r="U254" s="183"/>
      <c r="V254" s="232"/>
      <c r="W254" s="237"/>
    </row>
    <row r="255" spans="1:23" s="209" customFormat="1">
      <c r="A255" s="208"/>
      <c r="F255" s="208"/>
      <c r="H255" s="210"/>
      <c r="I255" s="211"/>
      <c r="J255" s="211"/>
      <c r="K255" s="211"/>
      <c r="L255" s="211"/>
      <c r="M255" s="210"/>
      <c r="N255" s="211"/>
      <c r="O255" s="210"/>
      <c r="P255" s="210"/>
      <c r="Q255" s="210"/>
      <c r="R255" s="212"/>
      <c r="S255" s="213"/>
      <c r="T255" s="214"/>
      <c r="U255" s="211"/>
      <c r="V255" s="96"/>
      <c r="W255" s="211"/>
    </row>
    <row r="256" spans="1:23" s="173" customFormat="1">
      <c r="A256" s="158">
        <v>72</v>
      </c>
      <c r="B256" s="173" t="s">
        <v>624</v>
      </c>
      <c r="C256" s="225" t="s">
        <v>622</v>
      </c>
      <c r="D256" s="173" t="s">
        <v>621</v>
      </c>
      <c r="E256" s="173" t="s">
        <v>623</v>
      </c>
      <c r="F256" s="236" t="s">
        <v>715</v>
      </c>
      <c r="G256" s="239" t="s">
        <v>632</v>
      </c>
      <c r="H256" s="200">
        <v>71.989999999999995</v>
      </c>
      <c r="I256" s="182">
        <f t="shared" si="63"/>
        <v>77.029299999999992</v>
      </c>
      <c r="J256" s="183">
        <f t="shared" si="58"/>
        <v>77.929175000000001</v>
      </c>
      <c r="K256" s="183">
        <f t="shared" si="47"/>
        <v>0.89987500000000864</v>
      </c>
      <c r="L256" s="183"/>
      <c r="M256" s="200">
        <v>36</v>
      </c>
      <c r="N256" s="183"/>
      <c r="O256" s="200">
        <v>19.93</v>
      </c>
      <c r="P256" s="200"/>
      <c r="Q256" s="123">
        <f>SUM(J256,M256,O256)</f>
        <v>133.85917499999999</v>
      </c>
      <c r="R256" s="201">
        <f t="shared" si="62"/>
        <v>850.00576124999986</v>
      </c>
      <c r="S256" s="137">
        <v>850</v>
      </c>
      <c r="T256" s="202">
        <v>58.44</v>
      </c>
      <c r="U256" s="237" t="s">
        <v>694</v>
      </c>
      <c r="V256" s="232">
        <f>27+20.3</f>
        <v>47.3</v>
      </c>
      <c r="W256" s="237">
        <f>Q256+Q257-T256-T257-V256</f>
        <v>151.22292499999998</v>
      </c>
    </row>
    <row r="257" spans="1:23" s="173" customFormat="1">
      <c r="A257" s="158"/>
      <c r="B257" s="173" t="s">
        <v>625</v>
      </c>
      <c r="C257" s="225" t="s">
        <v>626</v>
      </c>
      <c r="D257" s="173" t="s">
        <v>621</v>
      </c>
      <c r="E257" s="173" t="s">
        <v>623</v>
      </c>
      <c r="F257" s="236"/>
      <c r="G257" s="240"/>
      <c r="H257" s="200">
        <v>197.5</v>
      </c>
      <c r="I257" s="182">
        <f t="shared" si="63"/>
        <v>211.32500000000002</v>
      </c>
      <c r="J257" s="183">
        <f t="shared" si="58"/>
        <v>213.79375000000002</v>
      </c>
      <c r="K257" s="183">
        <f t="shared" si="47"/>
        <v>2.46875</v>
      </c>
      <c r="L257" s="183"/>
      <c r="M257" s="200">
        <v>36</v>
      </c>
      <c r="N257" s="183"/>
      <c r="O257" s="200">
        <v>33.68</v>
      </c>
      <c r="P257" s="200"/>
      <c r="Q257" s="123">
        <f t="shared" si="64"/>
        <v>283.47375</v>
      </c>
      <c r="R257" s="201">
        <f t="shared" si="62"/>
        <v>1800.0583124999998</v>
      </c>
      <c r="S257" s="137">
        <v>1800</v>
      </c>
      <c r="T257" s="202">
        <v>160.37</v>
      </c>
      <c r="U257" s="237"/>
      <c r="V257" s="232"/>
      <c r="W257" s="237"/>
    </row>
    <row r="258" spans="1:23" s="173" customFormat="1">
      <c r="A258" s="158"/>
      <c r="C258" s="225" t="s">
        <v>627</v>
      </c>
      <c r="D258" s="173" t="s">
        <v>628</v>
      </c>
      <c r="E258" s="173" t="s">
        <v>629</v>
      </c>
      <c r="F258" s="236" t="s">
        <v>716</v>
      </c>
      <c r="G258" s="236" t="s">
        <v>631</v>
      </c>
      <c r="H258" s="200">
        <v>187.5</v>
      </c>
      <c r="I258" s="182">
        <f t="shared" si="63"/>
        <v>200.625</v>
      </c>
      <c r="J258" s="183">
        <f t="shared" si="58"/>
        <v>202.96875</v>
      </c>
      <c r="K258" s="183">
        <f t="shared" ref="K258:K336" si="115">J258-I258</f>
        <v>2.34375</v>
      </c>
      <c r="L258" s="183"/>
      <c r="M258" s="200">
        <v>36</v>
      </c>
      <c r="N258" s="183"/>
      <c r="O258" s="200">
        <v>28.75</v>
      </c>
      <c r="P258" s="200"/>
      <c r="Q258" s="123">
        <f t="shared" si="64"/>
        <v>267.71875</v>
      </c>
      <c r="R258" s="201">
        <f t="shared" si="62"/>
        <v>1700.0140624999999</v>
      </c>
      <c r="S258" s="137">
        <v>1700</v>
      </c>
      <c r="T258" s="202">
        <v>141.66999999999999</v>
      </c>
      <c r="U258" s="237"/>
      <c r="V258" s="232">
        <v>27</v>
      </c>
      <c r="W258" s="237">
        <f>Q258+Q259-T258-T259-V258</f>
        <v>163.15462499999998</v>
      </c>
    </row>
    <row r="259" spans="1:23" s="173" customFormat="1">
      <c r="A259" s="158"/>
      <c r="C259" s="225" t="s">
        <v>630</v>
      </c>
      <c r="D259" s="173" t="s">
        <v>628</v>
      </c>
      <c r="E259" s="173" t="s">
        <v>629</v>
      </c>
      <c r="F259" s="236"/>
      <c r="G259" s="236"/>
      <c r="H259" s="200">
        <v>99.95</v>
      </c>
      <c r="I259" s="182">
        <f t="shared" si="63"/>
        <v>106.94650000000001</v>
      </c>
      <c r="J259" s="183">
        <f t="shared" si="58"/>
        <v>108.195875</v>
      </c>
      <c r="K259" s="183">
        <f t="shared" si="115"/>
        <v>1.2493749999999864</v>
      </c>
      <c r="L259" s="183"/>
      <c r="M259" s="200">
        <v>20</v>
      </c>
      <c r="N259" s="183"/>
      <c r="O259" s="200">
        <v>16.690000000000001</v>
      </c>
      <c r="P259" s="200"/>
      <c r="Q259" s="123">
        <f t="shared" si="64"/>
        <v>144.885875</v>
      </c>
      <c r="R259" s="201">
        <f t="shared" si="62"/>
        <v>920.02530624999997</v>
      </c>
      <c r="S259" s="137">
        <v>920</v>
      </c>
      <c r="T259" s="202">
        <v>80.78</v>
      </c>
      <c r="U259" s="237"/>
      <c r="V259" s="232"/>
      <c r="W259" s="237"/>
    </row>
    <row r="260" spans="1:23" s="173" customFormat="1">
      <c r="A260" s="158"/>
      <c r="C260" s="225" t="s">
        <v>633</v>
      </c>
      <c r="D260" s="173" t="s">
        <v>634</v>
      </c>
      <c r="E260" s="173" t="s">
        <v>635</v>
      </c>
      <c r="F260" s="217" t="s">
        <v>709</v>
      </c>
      <c r="G260" s="173" t="s">
        <v>636</v>
      </c>
      <c r="H260" s="200">
        <v>162.5</v>
      </c>
      <c r="I260" s="182">
        <f t="shared" si="63"/>
        <v>173.875</v>
      </c>
      <c r="J260" s="183">
        <f t="shared" si="58"/>
        <v>175.90625</v>
      </c>
      <c r="K260" s="183">
        <f t="shared" si="115"/>
        <v>2.03125</v>
      </c>
      <c r="L260" s="183"/>
      <c r="M260" s="200">
        <v>36</v>
      </c>
      <c r="N260" s="183"/>
      <c r="O260" s="200">
        <v>39.909999999999997</v>
      </c>
      <c r="P260" s="200"/>
      <c r="Q260" s="123">
        <f t="shared" si="64"/>
        <v>251.81625</v>
      </c>
      <c r="R260" s="201">
        <f t="shared" si="62"/>
        <v>1599.0331874999999</v>
      </c>
      <c r="S260" s="137">
        <v>1599</v>
      </c>
      <c r="T260" s="202">
        <v>131.91999999999999</v>
      </c>
      <c r="U260" s="183"/>
      <c r="V260" s="180">
        <v>19</v>
      </c>
      <c r="W260" s="183">
        <f>Q260-T260-V260</f>
        <v>100.89625000000001</v>
      </c>
    </row>
    <row r="261" spans="1:23" s="173" customFormat="1">
      <c r="A261" s="158"/>
      <c r="C261" s="225" t="s">
        <v>637</v>
      </c>
      <c r="D261" s="173" t="s">
        <v>638</v>
      </c>
      <c r="E261" s="173" t="s">
        <v>639</v>
      </c>
      <c r="F261" s="217" t="s">
        <v>717</v>
      </c>
      <c r="G261" s="173" t="s">
        <v>640</v>
      </c>
      <c r="H261" s="200">
        <v>99.5</v>
      </c>
      <c r="I261" s="182">
        <f t="shared" si="63"/>
        <v>106.465</v>
      </c>
      <c r="J261" s="183">
        <f t="shared" si="58"/>
        <v>107.70874999999999</v>
      </c>
      <c r="K261" s="183">
        <f t="shared" si="115"/>
        <v>1.2437499999999915</v>
      </c>
      <c r="L261" s="183"/>
      <c r="M261" s="200">
        <v>36</v>
      </c>
      <c r="N261" s="183"/>
      <c r="O261" s="200">
        <v>38.97</v>
      </c>
      <c r="P261" s="200"/>
      <c r="Q261" s="123">
        <f t="shared" si="64"/>
        <v>182.67875000000001</v>
      </c>
      <c r="R261" s="201">
        <f t="shared" si="62"/>
        <v>1160.0100625</v>
      </c>
      <c r="S261" s="137">
        <v>1160</v>
      </c>
      <c r="T261" s="202">
        <v>80.78</v>
      </c>
      <c r="U261" s="183"/>
      <c r="V261" s="180">
        <v>22</v>
      </c>
      <c r="W261" s="204">
        <f>Q261-T261-V261</f>
        <v>79.898750000000007</v>
      </c>
    </row>
    <row r="262" spans="1:23" s="173" customFormat="1">
      <c r="A262" s="158"/>
      <c r="C262" s="225" t="s">
        <v>641</v>
      </c>
      <c r="D262" s="173" t="s">
        <v>642</v>
      </c>
      <c r="E262" s="173" t="s">
        <v>643</v>
      </c>
      <c r="F262" s="158"/>
      <c r="G262" s="236" t="s">
        <v>473</v>
      </c>
      <c r="H262" s="200">
        <v>147.5</v>
      </c>
      <c r="I262" s="182">
        <f t="shared" si="63"/>
        <v>157.82500000000002</v>
      </c>
      <c r="J262" s="183">
        <f t="shared" si="58"/>
        <v>159.66874999999999</v>
      </c>
      <c r="K262" s="183">
        <f t="shared" si="115"/>
        <v>1.8437499999999716</v>
      </c>
      <c r="L262" s="183"/>
      <c r="M262" s="200">
        <v>20</v>
      </c>
      <c r="N262" s="183"/>
      <c r="O262" s="200">
        <v>18.760000000000002</v>
      </c>
      <c r="P262" s="200"/>
      <c r="Q262" s="123">
        <f t="shared" si="64"/>
        <v>198.42874999999998</v>
      </c>
      <c r="R262" s="201">
        <f t="shared" si="62"/>
        <v>1260.0225624999998</v>
      </c>
      <c r="S262" s="137">
        <v>1260</v>
      </c>
      <c r="T262" s="202">
        <v>119.75</v>
      </c>
      <c r="U262" s="183"/>
      <c r="V262" s="232">
        <v>0</v>
      </c>
      <c r="W262" s="237">
        <f>Q262+Q263-T262-T263</f>
        <v>144.01249999999999</v>
      </c>
    </row>
    <row r="263" spans="1:23" s="173" customFormat="1">
      <c r="A263" s="158"/>
      <c r="C263" s="225" t="s">
        <v>644</v>
      </c>
      <c r="D263" s="173" t="s">
        <v>642</v>
      </c>
      <c r="E263" s="173" t="s">
        <v>643</v>
      </c>
      <c r="F263" s="158"/>
      <c r="G263" s="236"/>
      <c r="H263" s="200">
        <v>89.5</v>
      </c>
      <c r="I263" s="182">
        <f t="shared" si="63"/>
        <v>95.765000000000001</v>
      </c>
      <c r="J263" s="183">
        <f t="shared" si="58"/>
        <v>96.883750000000006</v>
      </c>
      <c r="K263" s="183">
        <f t="shared" si="115"/>
        <v>1.1187500000000057</v>
      </c>
      <c r="L263" s="183"/>
      <c r="M263" s="200">
        <v>36</v>
      </c>
      <c r="N263" s="183"/>
      <c r="O263" s="200">
        <v>29.33</v>
      </c>
      <c r="P263" s="200"/>
      <c r="Q263" s="123">
        <f t="shared" si="64"/>
        <v>162.21375</v>
      </c>
      <c r="R263" s="201">
        <f t="shared" si="62"/>
        <v>1030.0573125000001</v>
      </c>
      <c r="S263" s="137">
        <v>1030</v>
      </c>
      <c r="T263" s="202">
        <v>96.88</v>
      </c>
      <c r="U263" s="183"/>
      <c r="V263" s="232"/>
      <c r="W263" s="237"/>
    </row>
    <row r="264" spans="1:23" s="209" customFormat="1">
      <c r="A264" s="208"/>
      <c r="F264" s="208"/>
      <c r="H264" s="210"/>
      <c r="I264" s="211"/>
      <c r="J264" s="211"/>
      <c r="K264" s="211"/>
      <c r="L264" s="211"/>
      <c r="M264" s="210"/>
      <c r="N264" s="211"/>
      <c r="O264" s="210"/>
      <c r="P264" s="210"/>
      <c r="Q264" s="210"/>
      <c r="R264" s="212"/>
      <c r="S264" s="213"/>
      <c r="T264" s="214"/>
      <c r="U264" s="211"/>
      <c r="V264" s="96"/>
      <c r="W264" s="211"/>
    </row>
    <row r="265" spans="1:23" s="198" customFormat="1">
      <c r="A265" s="215">
        <v>73</v>
      </c>
      <c r="C265" s="227" t="s">
        <v>682</v>
      </c>
      <c r="D265" s="198" t="s">
        <v>688</v>
      </c>
      <c r="E265" s="198" t="s">
        <v>679</v>
      </c>
      <c r="F265" s="230" t="s">
        <v>718</v>
      </c>
      <c r="H265" s="187">
        <f>10.99*6</f>
        <v>65.94</v>
      </c>
      <c r="I265" s="218">
        <f t="shared" si="63"/>
        <v>70.555800000000005</v>
      </c>
      <c r="J265" s="222">
        <f t="shared" si="58"/>
        <v>71.380049999999997</v>
      </c>
      <c r="K265" s="222">
        <f t="shared" si="115"/>
        <v>0.82424999999999216</v>
      </c>
      <c r="L265" s="222"/>
      <c r="M265" s="187"/>
      <c r="N265" s="222"/>
      <c r="O265" s="187">
        <v>3.58</v>
      </c>
      <c r="P265" s="187"/>
      <c r="Q265" s="189">
        <f t="shared" si="64"/>
        <v>74.960049999999995</v>
      </c>
      <c r="R265" s="190">
        <f t="shared" si="62"/>
        <v>475.99631749999992</v>
      </c>
      <c r="S265" s="238">
        <v>1948</v>
      </c>
      <c r="T265" s="235">
        <v>240.28</v>
      </c>
      <c r="U265" s="222"/>
      <c r="V265" s="232">
        <f>30+17.5+36+33+36+25+37.5+44.6</f>
        <v>259.60000000000002</v>
      </c>
      <c r="W265" s="231">
        <f>SUM(Q265:Q288)-SUM(T265:T288)</f>
        <v>306.79749999999967</v>
      </c>
    </row>
    <row r="266" spans="1:23" s="198" customFormat="1">
      <c r="A266" s="215"/>
      <c r="C266" s="227" t="s">
        <v>680</v>
      </c>
      <c r="D266" s="198" t="s">
        <v>688</v>
      </c>
      <c r="F266" s="230" t="s">
        <v>719</v>
      </c>
      <c r="H266" s="187">
        <f>7.99*8</f>
        <v>63.92</v>
      </c>
      <c r="I266" s="218">
        <f t="shared" ref="I266:I268" si="116">H266*1.07</f>
        <v>68.394400000000005</v>
      </c>
      <c r="J266" s="222">
        <f t="shared" ref="J266:J268" si="117">H266*1.0825</f>
        <v>69.193399999999997</v>
      </c>
      <c r="K266" s="222">
        <f t="shared" ref="K266:K268" si="118">J266-I266</f>
        <v>0.79899999999999238</v>
      </c>
      <c r="L266" s="222"/>
      <c r="M266" s="187"/>
      <c r="N266" s="222"/>
      <c r="O266" s="187">
        <v>3.57</v>
      </c>
      <c r="P266" s="187"/>
      <c r="Q266" s="189">
        <f t="shared" ref="Q266:Q268" si="119">SUM(J266,M266,O266)</f>
        <v>72.76339999999999</v>
      </c>
      <c r="R266" s="190">
        <f t="shared" ref="R266:R268" si="120">Q266*6.35</f>
        <v>462.0475899999999</v>
      </c>
      <c r="S266" s="238"/>
      <c r="T266" s="235"/>
      <c r="U266" s="222" t="s">
        <v>726</v>
      </c>
      <c r="V266" s="232"/>
      <c r="W266" s="231"/>
    </row>
    <row r="267" spans="1:23" s="198" customFormat="1">
      <c r="A267" s="215"/>
      <c r="C267" s="227" t="s">
        <v>681</v>
      </c>
      <c r="D267" s="198" t="s">
        <v>688</v>
      </c>
      <c r="F267" s="230" t="s">
        <v>712</v>
      </c>
      <c r="H267" s="187">
        <f>16.45*6</f>
        <v>98.699999999999989</v>
      </c>
      <c r="I267" s="218">
        <f t="shared" si="116"/>
        <v>105.60899999999999</v>
      </c>
      <c r="J267" s="222">
        <f t="shared" si="117"/>
        <v>106.84275</v>
      </c>
      <c r="K267" s="222">
        <f t="shared" si="118"/>
        <v>1.2337500000000006</v>
      </c>
      <c r="L267" s="222"/>
      <c r="M267" s="187"/>
      <c r="N267" s="222"/>
      <c r="O267" s="187">
        <v>5.76</v>
      </c>
      <c r="P267" s="187"/>
      <c r="Q267" s="189">
        <f t="shared" si="119"/>
        <v>112.60275</v>
      </c>
      <c r="R267" s="190">
        <f t="shared" si="120"/>
        <v>715.02746249999996</v>
      </c>
      <c r="S267" s="238"/>
      <c r="T267" s="235"/>
      <c r="U267" s="222"/>
      <c r="V267" s="232"/>
      <c r="W267" s="231"/>
    </row>
    <row r="268" spans="1:23" s="198" customFormat="1">
      <c r="A268" s="215"/>
      <c r="C268" s="227" t="s">
        <v>683</v>
      </c>
      <c r="D268" s="198" t="s">
        <v>688</v>
      </c>
      <c r="F268" s="230" t="s">
        <v>720</v>
      </c>
      <c r="H268" s="187">
        <f>13.56*3</f>
        <v>40.68</v>
      </c>
      <c r="I268" s="218">
        <f t="shared" si="116"/>
        <v>43.5276</v>
      </c>
      <c r="J268" s="222">
        <f t="shared" si="117"/>
        <v>44.036099999999998</v>
      </c>
      <c r="K268" s="222">
        <f t="shared" si="118"/>
        <v>0.50849999999999795</v>
      </c>
      <c r="L268" s="222"/>
      <c r="M268" s="187"/>
      <c r="N268" s="222"/>
      <c r="O268" s="187">
        <v>2.42</v>
      </c>
      <c r="P268" s="187"/>
      <c r="Q268" s="189">
        <f t="shared" si="119"/>
        <v>46.456099999999999</v>
      </c>
      <c r="R268" s="190">
        <f t="shared" si="120"/>
        <v>294.99623499999996</v>
      </c>
      <c r="S268" s="238"/>
      <c r="T268" s="235"/>
      <c r="U268" s="222"/>
      <c r="V268" s="232"/>
      <c r="W268" s="231"/>
    </row>
    <row r="269" spans="1:23" s="198" customFormat="1">
      <c r="A269" s="215"/>
      <c r="C269" s="227" t="s">
        <v>683</v>
      </c>
      <c r="D269" s="198" t="s">
        <v>689</v>
      </c>
      <c r="F269" s="215" t="s">
        <v>729</v>
      </c>
      <c r="H269" s="187">
        <f>13.56*3</f>
        <v>40.68</v>
      </c>
      <c r="I269" s="218">
        <f t="shared" si="63"/>
        <v>43.5276</v>
      </c>
      <c r="J269" s="222">
        <f t="shared" si="58"/>
        <v>44.036099999999998</v>
      </c>
      <c r="K269" s="222">
        <f t="shared" si="115"/>
        <v>0.50849999999999795</v>
      </c>
      <c r="L269" s="222"/>
      <c r="M269" s="187"/>
      <c r="N269" s="222"/>
      <c r="O269" s="187">
        <v>2.42</v>
      </c>
      <c r="P269" s="187"/>
      <c r="Q269" s="189">
        <f t="shared" si="64"/>
        <v>46.456099999999999</v>
      </c>
      <c r="R269" s="190">
        <f t="shared" si="62"/>
        <v>294.99623499999996</v>
      </c>
      <c r="S269" s="191">
        <v>295</v>
      </c>
      <c r="T269" s="192">
        <v>40.68</v>
      </c>
      <c r="U269" s="222"/>
      <c r="V269" s="232"/>
      <c r="W269" s="231"/>
    </row>
    <row r="270" spans="1:23" s="198" customFormat="1">
      <c r="A270" s="215"/>
      <c r="C270" s="227" t="s">
        <v>669</v>
      </c>
      <c r="D270" s="198" t="s">
        <v>685</v>
      </c>
      <c r="F270" s="215" t="s">
        <v>727</v>
      </c>
      <c r="H270" s="187">
        <v>15.36</v>
      </c>
      <c r="I270" s="218">
        <f t="shared" si="63"/>
        <v>16.435200000000002</v>
      </c>
      <c r="J270" s="222">
        <f t="shared" si="58"/>
        <v>16.627199999999998</v>
      </c>
      <c r="K270" s="222">
        <f t="shared" si="115"/>
        <v>0.19199999999999662</v>
      </c>
      <c r="L270" s="222"/>
      <c r="M270" s="187"/>
      <c r="N270" s="222"/>
      <c r="O270" s="187">
        <v>0.86</v>
      </c>
      <c r="P270" s="187"/>
      <c r="Q270" s="189">
        <f t="shared" si="64"/>
        <v>17.487199999999998</v>
      </c>
      <c r="R270" s="190">
        <f t="shared" si="62"/>
        <v>111.04371999999998</v>
      </c>
      <c r="S270" s="238">
        <v>1369</v>
      </c>
      <c r="T270" s="235">
        <v>155.38999999999999</v>
      </c>
      <c r="U270" s="222"/>
      <c r="V270" s="232"/>
      <c r="W270" s="231"/>
    </row>
    <row r="271" spans="1:23" s="198" customFormat="1">
      <c r="A271" s="215"/>
      <c r="C271" s="227" t="s">
        <v>664</v>
      </c>
      <c r="D271" s="198" t="s">
        <v>685</v>
      </c>
      <c r="F271" s="224" t="s">
        <v>730</v>
      </c>
      <c r="H271" s="187">
        <f>14.99*2</f>
        <v>29.98</v>
      </c>
      <c r="I271" s="218">
        <f t="shared" ref="I271:I273" si="121">H271*1.07</f>
        <v>32.078600000000002</v>
      </c>
      <c r="J271" s="222">
        <f t="shared" ref="J271:J273" si="122">H271*1.0825</f>
        <v>32.45335</v>
      </c>
      <c r="K271" s="222">
        <f t="shared" ref="K271:K273" si="123">J271-I271</f>
        <v>0.37474999999999881</v>
      </c>
      <c r="L271" s="222"/>
      <c r="M271" s="187"/>
      <c r="N271" s="222"/>
      <c r="O271" s="187">
        <v>1.89</v>
      </c>
      <c r="P271" s="187"/>
      <c r="Q271" s="189">
        <f t="shared" ref="Q271:Q273" si="124">SUM(J271,M271,O271)</f>
        <v>34.343350000000001</v>
      </c>
      <c r="R271" s="190">
        <f t="shared" ref="R271:R273" si="125">Q271*6.35</f>
        <v>218.08027250000001</v>
      </c>
      <c r="S271" s="238"/>
      <c r="T271" s="235"/>
      <c r="U271" s="222"/>
      <c r="V271" s="232"/>
      <c r="W271" s="231"/>
    </row>
    <row r="272" spans="1:23" s="198" customFormat="1">
      <c r="A272" s="215"/>
      <c r="C272" s="227" t="s">
        <v>665</v>
      </c>
      <c r="D272" s="198" t="s">
        <v>685</v>
      </c>
      <c r="F272" s="229" t="s">
        <v>731</v>
      </c>
      <c r="H272" s="187">
        <f>13.48*4</f>
        <v>53.92</v>
      </c>
      <c r="I272" s="218">
        <f t="shared" si="121"/>
        <v>57.694400000000002</v>
      </c>
      <c r="J272" s="222">
        <f t="shared" si="122"/>
        <v>58.368400000000001</v>
      </c>
      <c r="K272" s="222">
        <f t="shared" si="123"/>
        <v>0.67399999999999949</v>
      </c>
      <c r="L272" s="222"/>
      <c r="M272" s="187"/>
      <c r="N272" s="222"/>
      <c r="O272" s="187">
        <v>3.21</v>
      </c>
      <c r="P272" s="187"/>
      <c r="Q272" s="189">
        <f t="shared" si="124"/>
        <v>61.578400000000002</v>
      </c>
      <c r="R272" s="190">
        <f t="shared" si="125"/>
        <v>391.02283999999997</v>
      </c>
      <c r="S272" s="238"/>
      <c r="T272" s="235"/>
      <c r="U272" s="222"/>
      <c r="V272" s="232"/>
      <c r="W272" s="231"/>
    </row>
    <row r="273" spans="1:23" s="198" customFormat="1">
      <c r="A273" s="215"/>
      <c r="C273" s="227" t="s">
        <v>666</v>
      </c>
      <c r="D273" s="198" t="s">
        <v>685</v>
      </c>
      <c r="F273" s="215"/>
      <c r="H273" s="187">
        <f>14.82*2</f>
        <v>29.64</v>
      </c>
      <c r="I273" s="218">
        <f t="shared" si="121"/>
        <v>31.714800000000004</v>
      </c>
      <c r="J273" s="222">
        <f t="shared" si="122"/>
        <v>32.085300000000004</v>
      </c>
      <c r="K273" s="222">
        <f t="shared" si="123"/>
        <v>0.37049999999999983</v>
      </c>
      <c r="L273" s="222"/>
      <c r="M273" s="187"/>
      <c r="N273" s="222"/>
      <c r="O273" s="187">
        <v>1.78</v>
      </c>
      <c r="P273" s="187"/>
      <c r="Q273" s="189">
        <f t="shared" si="124"/>
        <v>33.865300000000005</v>
      </c>
      <c r="R273" s="190">
        <f t="shared" si="125"/>
        <v>215.04465500000001</v>
      </c>
      <c r="S273" s="238"/>
      <c r="T273" s="235"/>
      <c r="U273" s="222"/>
      <c r="V273" s="232"/>
      <c r="W273" s="231"/>
    </row>
    <row r="274" spans="1:23" s="198" customFormat="1">
      <c r="A274" s="215"/>
      <c r="C274" s="227" t="s">
        <v>667</v>
      </c>
      <c r="D274" s="198" t="s">
        <v>685</v>
      </c>
      <c r="F274" s="215"/>
      <c r="H274" s="187">
        <f>14.99*2</f>
        <v>29.98</v>
      </c>
      <c r="I274" s="218">
        <f t="shared" ref="I274:I275" si="126">H274*1.07</f>
        <v>32.078600000000002</v>
      </c>
      <c r="J274" s="222">
        <f t="shared" ref="J274:J275" si="127">H274*1.0825</f>
        <v>32.45335</v>
      </c>
      <c r="K274" s="222">
        <f t="shared" ref="K274:K275" si="128">J274-I274</f>
        <v>0.37474999999999881</v>
      </c>
      <c r="L274" s="222"/>
      <c r="M274" s="187"/>
      <c r="N274" s="222"/>
      <c r="O274" s="187">
        <v>1.72</v>
      </c>
      <c r="P274" s="187"/>
      <c r="Q274" s="189">
        <f t="shared" ref="Q274:Q275" si="129">SUM(J274,M274,O274)</f>
        <v>34.173349999999999</v>
      </c>
      <c r="R274" s="190">
        <f t="shared" ref="R274:R275" si="130">Q274*6.35</f>
        <v>217.00077249999998</v>
      </c>
      <c r="S274" s="238"/>
      <c r="T274" s="235"/>
      <c r="U274" s="222"/>
      <c r="V274" s="232"/>
      <c r="W274" s="231"/>
    </row>
    <row r="275" spans="1:23" s="198" customFormat="1">
      <c r="A275" s="215"/>
      <c r="C275" s="227" t="s">
        <v>668</v>
      </c>
      <c r="D275" s="198" t="s">
        <v>685</v>
      </c>
      <c r="F275" s="215"/>
      <c r="H275" s="187">
        <f>14.99*2</f>
        <v>29.98</v>
      </c>
      <c r="I275" s="218">
        <f t="shared" si="126"/>
        <v>32.078600000000002</v>
      </c>
      <c r="J275" s="222">
        <f t="shared" si="127"/>
        <v>32.45335</v>
      </c>
      <c r="K275" s="222">
        <f t="shared" si="128"/>
        <v>0.37474999999999881</v>
      </c>
      <c r="L275" s="222"/>
      <c r="M275" s="187"/>
      <c r="N275" s="222"/>
      <c r="O275" s="187">
        <v>1.72</v>
      </c>
      <c r="P275" s="187"/>
      <c r="Q275" s="189">
        <f t="shared" si="129"/>
        <v>34.173349999999999</v>
      </c>
      <c r="R275" s="190">
        <f t="shared" si="130"/>
        <v>217.00077249999998</v>
      </c>
      <c r="S275" s="238"/>
      <c r="T275" s="235"/>
      <c r="U275" s="222"/>
      <c r="V275" s="232"/>
      <c r="W275" s="231"/>
    </row>
    <row r="276" spans="1:23" s="198" customFormat="1">
      <c r="A276" s="215"/>
      <c r="C276" s="227" t="s">
        <v>670</v>
      </c>
      <c r="D276" s="198" t="s">
        <v>686</v>
      </c>
      <c r="F276" s="215"/>
      <c r="H276" s="187">
        <f>15.36*5</f>
        <v>76.8</v>
      </c>
      <c r="I276" s="218">
        <f t="shared" si="63"/>
        <v>82.176000000000002</v>
      </c>
      <c r="J276" s="222">
        <f t="shared" si="58"/>
        <v>83.135999999999996</v>
      </c>
      <c r="K276" s="222">
        <f t="shared" si="115"/>
        <v>0.95999999999999375</v>
      </c>
      <c r="L276" s="222"/>
      <c r="M276" s="187"/>
      <c r="N276" s="222"/>
      <c r="O276" s="187">
        <v>4.2699999999999996</v>
      </c>
      <c r="P276" s="187"/>
      <c r="Q276" s="189">
        <f t="shared" si="64"/>
        <v>87.405999999999992</v>
      </c>
      <c r="R276" s="190">
        <f t="shared" si="62"/>
        <v>555.02809999999988</v>
      </c>
      <c r="S276" s="191">
        <v>555</v>
      </c>
      <c r="T276" s="192">
        <v>49.97</v>
      </c>
      <c r="U276" s="222"/>
      <c r="V276" s="232"/>
      <c r="W276" s="231"/>
    </row>
    <row r="277" spans="1:23" s="173" customFormat="1">
      <c r="A277" s="158"/>
      <c r="C277" s="198" t="s">
        <v>671</v>
      </c>
      <c r="D277" s="173" t="s">
        <v>648</v>
      </c>
      <c r="F277" s="158"/>
      <c r="H277" s="200">
        <v>19.989999999999998</v>
      </c>
      <c r="I277" s="182">
        <f t="shared" si="63"/>
        <v>21.389299999999999</v>
      </c>
      <c r="J277" s="183">
        <f t="shared" si="58"/>
        <v>21.639174999999998</v>
      </c>
      <c r="K277" s="183">
        <f t="shared" si="115"/>
        <v>0.2498749999999994</v>
      </c>
      <c r="L277" s="183"/>
      <c r="M277" s="200"/>
      <c r="N277" s="183"/>
      <c r="O277" s="200">
        <v>2.62</v>
      </c>
      <c r="P277" s="200"/>
      <c r="Q277" s="123">
        <f t="shared" si="64"/>
        <v>24.259174999999999</v>
      </c>
      <c r="R277" s="201">
        <f t="shared" si="62"/>
        <v>154.04576125</v>
      </c>
      <c r="S277" s="234">
        <v>746</v>
      </c>
      <c r="T277" s="233">
        <v>100.88</v>
      </c>
      <c r="U277" s="183"/>
      <c r="V277" s="232"/>
      <c r="W277" s="231"/>
    </row>
    <row r="278" spans="1:23" s="173" customFormat="1">
      <c r="A278" s="217"/>
      <c r="C278" s="198" t="s">
        <v>672</v>
      </c>
      <c r="D278" s="173" t="s">
        <v>648</v>
      </c>
      <c r="F278" s="217"/>
      <c r="H278" s="200">
        <v>17.989999999999998</v>
      </c>
      <c r="I278" s="220">
        <f t="shared" ref="I278:I279" si="131">H278*1.07</f>
        <v>19.249299999999998</v>
      </c>
      <c r="J278" s="216">
        <f t="shared" ref="J278:J279" si="132">H278*1.0825</f>
        <v>19.474174999999999</v>
      </c>
      <c r="K278" s="216">
        <f t="shared" ref="K278:K279" si="133">J278-I278</f>
        <v>0.22487500000000082</v>
      </c>
      <c r="L278" s="216"/>
      <c r="M278" s="200"/>
      <c r="N278" s="216"/>
      <c r="O278" s="200">
        <v>1.95</v>
      </c>
      <c r="P278" s="200"/>
      <c r="Q278" s="123">
        <f t="shared" ref="Q278:Q279" si="134">SUM(J278,M278,O278)</f>
        <v>21.424174999999998</v>
      </c>
      <c r="R278" s="201">
        <f t="shared" ref="R278:R279" si="135">Q278*6.35</f>
        <v>136.04351124999999</v>
      </c>
      <c r="S278" s="234"/>
      <c r="T278" s="233"/>
      <c r="U278" s="216"/>
      <c r="V278" s="232"/>
      <c r="W278" s="231"/>
    </row>
    <row r="279" spans="1:23" s="173" customFormat="1">
      <c r="A279" s="217"/>
      <c r="C279" s="198" t="s">
        <v>673</v>
      </c>
      <c r="D279" s="173" t="s">
        <v>648</v>
      </c>
      <c r="F279" s="217"/>
      <c r="H279" s="200">
        <f>30.12*2</f>
        <v>60.24</v>
      </c>
      <c r="I279" s="220">
        <f t="shared" si="131"/>
        <v>64.456800000000001</v>
      </c>
      <c r="J279" s="216">
        <f t="shared" si="132"/>
        <v>65.209800000000001</v>
      </c>
      <c r="K279" s="216">
        <f t="shared" si="133"/>
        <v>0.75300000000000011</v>
      </c>
      <c r="L279" s="216"/>
      <c r="M279" s="200"/>
      <c r="N279" s="216"/>
      <c r="O279" s="200">
        <v>6.61</v>
      </c>
      <c r="P279" s="200"/>
      <c r="Q279" s="123">
        <f t="shared" si="134"/>
        <v>71.819800000000001</v>
      </c>
      <c r="R279" s="201">
        <f t="shared" si="135"/>
        <v>456.05572999999998</v>
      </c>
      <c r="S279" s="234"/>
      <c r="T279" s="233"/>
      <c r="U279" s="216"/>
      <c r="V279" s="232"/>
      <c r="W279" s="231"/>
    </row>
    <row r="280" spans="1:23" s="173" customFormat="1">
      <c r="A280" s="207"/>
      <c r="C280" s="173" t="s">
        <v>701</v>
      </c>
      <c r="D280" s="199" t="s">
        <v>702</v>
      </c>
      <c r="F280" s="207"/>
      <c r="H280" s="200">
        <v>219.99</v>
      </c>
      <c r="I280" s="205">
        <f t="shared" ref="I280" si="136">H280*1.07</f>
        <v>235.38930000000002</v>
      </c>
      <c r="J280" s="204">
        <f t="shared" ref="J280" si="137">H280*1.0825</f>
        <v>238.13917500000002</v>
      </c>
      <c r="K280" s="204">
        <f t="shared" ref="K280" si="138">J280-I280</f>
        <v>2.749875000000003</v>
      </c>
      <c r="L280" s="204"/>
      <c r="M280" s="200"/>
      <c r="N280" s="204"/>
      <c r="O280" s="200">
        <v>22.5</v>
      </c>
      <c r="P280" s="200"/>
      <c r="Q280" s="123">
        <f t="shared" ref="Q280" si="139">SUM(J280,M280,O280)</f>
        <v>260.63917500000002</v>
      </c>
      <c r="R280" s="201">
        <f t="shared" ref="R280" si="140">Q280*6.35</f>
        <v>1655.0587612500001</v>
      </c>
      <c r="S280" s="137">
        <v>1655</v>
      </c>
      <c r="T280" s="233">
        <v>289.95</v>
      </c>
      <c r="U280" s="204"/>
      <c r="V280" s="232"/>
      <c r="W280" s="231"/>
    </row>
    <row r="281" spans="1:23" s="173" customFormat="1">
      <c r="A281" s="217"/>
      <c r="C281" s="173" t="s">
        <v>703</v>
      </c>
      <c r="D281" s="199" t="s">
        <v>702</v>
      </c>
      <c r="F281" s="217"/>
      <c r="H281" s="200">
        <v>55.99</v>
      </c>
      <c r="I281" s="220">
        <f t="shared" ref="I281" si="141">H281*1.07</f>
        <v>59.909300000000009</v>
      </c>
      <c r="J281" s="216">
        <f t="shared" ref="J281" si="142">H281*1.0825</f>
        <v>60.609175</v>
      </c>
      <c r="K281" s="216">
        <f t="shared" ref="K281" si="143">J281-I281</f>
        <v>0.69987499999999159</v>
      </c>
      <c r="L281" s="216"/>
      <c r="M281" s="200"/>
      <c r="N281" s="216"/>
      <c r="O281" s="200">
        <v>6.32</v>
      </c>
      <c r="P281" s="200"/>
      <c r="Q281" s="123">
        <f t="shared" ref="Q281" si="144">SUM(J281,M281,O281)</f>
        <v>66.929175000000001</v>
      </c>
      <c r="R281" s="201">
        <f t="shared" ref="R281" si="145">Q281*6.35</f>
        <v>425.00026124999999</v>
      </c>
      <c r="S281" s="137">
        <v>425</v>
      </c>
      <c r="T281" s="233"/>
      <c r="U281" s="216"/>
      <c r="V281" s="232"/>
      <c r="W281" s="231"/>
    </row>
    <row r="282" spans="1:23" s="173" customFormat="1">
      <c r="A282" s="227"/>
      <c r="C282" s="198" t="s">
        <v>674</v>
      </c>
      <c r="D282" s="173" t="s">
        <v>649</v>
      </c>
      <c r="F282" s="217"/>
      <c r="H282" s="200">
        <v>24.17</v>
      </c>
      <c r="I282" s="220">
        <f t="shared" ref="I282:I283" si="146">H282*1.07</f>
        <v>25.861900000000002</v>
      </c>
      <c r="J282" s="216">
        <f t="shared" ref="J282:J283" si="147">H282*1.0825</f>
        <v>26.164025000000002</v>
      </c>
      <c r="K282" s="216">
        <f t="shared" ref="K282:K283" si="148">J282-I282</f>
        <v>0.3021250000000002</v>
      </c>
      <c r="L282" s="216"/>
      <c r="M282" s="200"/>
      <c r="N282" s="216"/>
      <c r="O282" s="200">
        <v>2.66</v>
      </c>
      <c r="P282" s="200"/>
      <c r="Q282" s="123">
        <f t="shared" ref="Q282:Q283" si="149">SUM(J282,M282,O282)</f>
        <v>28.824025000000002</v>
      </c>
      <c r="R282" s="201">
        <f t="shared" ref="R282:R283" si="150">Q282*6.35</f>
        <v>183.03255874999999</v>
      </c>
      <c r="S282" s="137">
        <v>183</v>
      </c>
      <c r="T282" s="233">
        <v>179.94</v>
      </c>
      <c r="U282" s="216"/>
      <c r="V282" s="232"/>
      <c r="W282" s="231"/>
    </row>
    <row r="283" spans="1:23" s="198" customFormat="1">
      <c r="A283" s="215"/>
      <c r="C283" s="198" t="s">
        <v>675</v>
      </c>
      <c r="D283" s="198" t="s">
        <v>687</v>
      </c>
      <c r="F283" s="215"/>
      <c r="H283" s="187">
        <f>24*6</f>
        <v>144</v>
      </c>
      <c r="I283" s="218">
        <f t="shared" si="146"/>
        <v>154.08000000000001</v>
      </c>
      <c r="J283" s="222">
        <f t="shared" si="147"/>
        <v>155.88</v>
      </c>
      <c r="K283" s="222">
        <f t="shared" si="148"/>
        <v>1.7999999999999829</v>
      </c>
      <c r="L283" s="222"/>
      <c r="M283" s="187"/>
      <c r="N283" s="222"/>
      <c r="O283" s="187">
        <v>7.9</v>
      </c>
      <c r="P283" s="187"/>
      <c r="Q283" s="189">
        <f t="shared" si="149"/>
        <v>163.78</v>
      </c>
      <c r="R283" s="190">
        <f t="shared" si="150"/>
        <v>1040.0029999999999</v>
      </c>
      <c r="S283" s="191">
        <v>1040</v>
      </c>
      <c r="T283" s="233"/>
      <c r="U283" s="222"/>
      <c r="V283" s="232"/>
      <c r="W283" s="231"/>
    </row>
    <row r="284" spans="1:23" s="198" customFormat="1">
      <c r="A284" s="215"/>
      <c r="C284" s="198" t="s">
        <v>676</v>
      </c>
      <c r="D284" s="198" t="s">
        <v>692</v>
      </c>
      <c r="F284" s="215"/>
      <c r="H284" s="187">
        <v>34</v>
      </c>
      <c r="I284" s="218">
        <f t="shared" si="63"/>
        <v>36.380000000000003</v>
      </c>
      <c r="J284" s="222">
        <f t="shared" si="58"/>
        <v>36.805</v>
      </c>
      <c r="K284" s="222">
        <f t="shared" si="115"/>
        <v>0.42499999999999716</v>
      </c>
      <c r="L284" s="222"/>
      <c r="M284" s="187">
        <v>6</v>
      </c>
      <c r="N284" s="222"/>
      <c r="O284" s="187">
        <v>4.4400000000000004</v>
      </c>
      <c r="P284" s="187"/>
      <c r="Q284" s="189">
        <f t="shared" si="64"/>
        <v>47.244999999999997</v>
      </c>
      <c r="R284" s="190">
        <f t="shared" si="62"/>
        <v>300.00574999999998</v>
      </c>
      <c r="S284" s="191">
        <v>300</v>
      </c>
      <c r="T284" s="192">
        <v>31.5</v>
      </c>
      <c r="U284" s="222"/>
      <c r="V284" s="232"/>
      <c r="W284" s="231"/>
    </row>
    <row r="285" spans="1:23" s="198" customFormat="1">
      <c r="A285" s="215"/>
      <c r="C285" s="198" t="s">
        <v>678</v>
      </c>
      <c r="D285" s="228">
        <v>20066026124</v>
      </c>
      <c r="F285" s="215"/>
      <c r="H285" s="187">
        <v>120</v>
      </c>
      <c r="I285" s="218">
        <f t="shared" si="63"/>
        <v>128.4</v>
      </c>
      <c r="J285" s="222">
        <f t="shared" si="58"/>
        <v>129.9</v>
      </c>
      <c r="K285" s="222">
        <f t="shared" si="115"/>
        <v>1.5</v>
      </c>
      <c r="L285" s="222"/>
      <c r="M285" s="187"/>
      <c r="N285" s="222"/>
      <c r="O285" s="187">
        <v>12.94</v>
      </c>
      <c r="P285" s="187"/>
      <c r="Q285" s="189">
        <f t="shared" si="64"/>
        <v>142.84</v>
      </c>
      <c r="R285" s="190">
        <f t="shared" si="62"/>
        <v>907.03399999999999</v>
      </c>
      <c r="S285" s="191">
        <v>907</v>
      </c>
      <c r="T285" s="192">
        <v>118</v>
      </c>
      <c r="U285" s="222"/>
      <c r="V285" s="232"/>
      <c r="W285" s="231"/>
    </row>
    <row r="286" spans="1:23" s="198" customFormat="1">
      <c r="A286" s="215"/>
      <c r="C286" s="198" t="s">
        <v>677</v>
      </c>
      <c r="D286" s="198" t="s">
        <v>693</v>
      </c>
      <c r="F286" s="215"/>
      <c r="H286" s="187">
        <v>35</v>
      </c>
      <c r="I286" s="218">
        <f t="shared" ref="I286" si="151">H286*1.07</f>
        <v>37.450000000000003</v>
      </c>
      <c r="J286" s="222">
        <f t="shared" ref="J286" si="152">H286*1.0825</f>
        <v>37.887500000000003</v>
      </c>
      <c r="K286" s="222">
        <f t="shared" ref="K286" si="153">J286-I286</f>
        <v>0.4375</v>
      </c>
      <c r="L286" s="222"/>
      <c r="M286" s="187">
        <v>6</v>
      </c>
      <c r="N286" s="222"/>
      <c r="O286" s="187">
        <v>4.62</v>
      </c>
      <c r="P286" s="187"/>
      <c r="Q286" s="189">
        <f t="shared" ref="Q286" si="154">SUM(J286,M286,O286)</f>
        <v>48.5075</v>
      </c>
      <c r="R286" s="190">
        <f t="shared" ref="R286" si="155">Q286*6.35</f>
        <v>308.02262500000001</v>
      </c>
      <c r="S286" s="191">
        <v>308</v>
      </c>
      <c r="T286" s="192">
        <v>32.25</v>
      </c>
      <c r="U286" s="222"/>
      <c r="V286" s="232"/>
      <c r="W286" s="231"/>
    </row>
    <row r="287" spans="1:23" s="198" customFormat="1">
      <c r="A287" s="215"/>
      <c r="C287" s="198" t="s">
        <v>690</v>
      </c>
      <c r="D287" s="198" t="s">
        <v>684</v>
      </c>
      <c r="F287" s="215"/>
      <c r="H287" s="187">
        <f>13.55*4</f>
        <v>54.2</v>
      </c>
      <c r="I287" s="218">
        <f t="shared" ref="I287" si="156">H287*1.07</f>
        <v>57.994000000000007</v>
      </c>
      <c r="J287" s="222">
        <f t="shared" ref="J287" si="157">H287*1.0825</f>
        <v>58.671500000000002</v>
      </c>
      <c r="K287" s="222">
        <f t="shared" ref="K287" si="158">J287-I287</f>
        <v>0.67749999999999488</v>
      </c>
      <c r="L287" s="222"/>
      <c r="M287" s="187"/>
      <c r="N287" s="222"/>
      <c r="O287" s="187">
        <v>2.75</v>
      </c>
      <c r="P287" s="187"/>
      <c r="Q287" s="189">
        <f t="shared" ref="Q287" si="159">SUM(J287,M287,O287)</f>
        <v>61.421500000000002</v>
      </c>
      <c r="R287" s="190">
        <f t="shared" ref="R287" si="160">Q287*6.35</f>
        <v>390.02652499999999</v>
      </c>
      <c r="S287" s="191">
        <v>390</v>
      </c>
      <c r="T287" s="235">
        <v>127.85</v>
      </c>
      <c r="U287" s="222"/>
      <c r="V287" s="232"/>
      <c r="W287" s="231"/>
    </row>
    <row r="288" spans="1:23" s="198" customFormat="1">
      <c r="A288" s="215"/>
      <c r="C288" s="198" t="s">
        <v>691</v>
      </c>
      <c r="D288" s="198" t="s">
        <v>684</v>
      </c>
      <c r="F288" s="215"/>
      <c r="H288" s="187">
        <f>13.97*5</f>
        <v>69.850000000000009</v>
      </c>
      <c r="I288" s="218">
        <f t="shared" ref="I288" si="161">H288*1.07</f>
        <v>74.739500000000007</v>
      </c>
      <c r="J288" s="222">
        <f t="shared" ref="J288" si="162">H288*1.0825</f>
        <v>75.612625000000008</v>
      </c>
      <c r="K288" s="222">
        <f t="shared" ref="K288" si="163">J288-I288</f>
        <v>0.87312500000000171</v>
      </c>
      <c r="L288" s="222"/>
      <c r="M288" s="187"/>
      <c r="N288" s="222"/>
      <c r="O288" s="187">
        <v>3.92</v>
      </c>
      <c r="P288" s="187"/>
      <c r="Q288" s="189">
        <f t="shared" ref="Q288" si="164">SUM(J288,M288,O288)</f>
        <v>79.53262500000001</v>
      </c>
      <c r="R288" s="190">
        <f t="shared" ref="R288" si="165">Q288*6.35</f>
        <v>505.03216875000004</v>
      </c>
      <c r="S288" s="191">
        <v>505</v>
      </c>
      <c r="T288" s="235"/>
      <c r="U288" s="222"/>
      <c r="V288" s="232"/>
      <c r="W288" s="231"/>
    </row>
    <row r="289" spans="1:23" s="209" customFormat="1">
      <c r="A289" s="208"/>
      <c r="F289" s="208"/>
      <c r="H289" s="210"/>
      <c r="I289" s="211"/>
      <c r="J289" s="211"/>
      <c r="K289" s="211"/>
      <c r="L289" s="211"/>
      <c r="M289" s="210"/>
      <c r="N289" s="211"/>
      <c r="O289" s="210"/>
      <c r="P289" s="210"/>
      <c r="Q289" s="210"/>
      <c r="R289" s="212"/>
      <c r="S289" s="213"/>
      <c r="T289" s="214"/>
      <c r="U289" s="211"/>
      <c r="V289" s="96"/>
      <c r="W289" s="211"/>
    </row>
    <row r="290" spans="1:23" s="173" customFormat="1">
      <c r="A290" s="158">
        <v>74</v>
      </c>
      <c r="B290" s="173" t="s">
        <v>650</v>
      </c>
      <c r="C290" s="225" t="s">
        <v>652</v>
      </c>
      <c r="D290" s="173" t="s">
        <v>643</v>
      </c>
      <c r="E290" s="173" t="s">
        <v>643</v>
      </c>
      <c r="F290" s="158"/>
      <c r="G290" t="s">
        <v>723</v>
      </c>
      <c r="H290" s="200">
        <v>179.25</v>
      </c>
      <c r="I290" s="182">
        <f t="shared" si="63"/>
        <v>191.79750000000001</v>
      </c>
      <c r="J290" s="183">
        <f t="shared" si="58"/>
        <v>194.03812500000001</v>
      </c>
      <c r="K290" s="183">
        <f t="shared" si="115"/>
        <v>2.2406249999999943</v>
      </c>
      <c r="L290" s="183"/>
      <c r="M290" s="200">
        <v>40</v>
      </c>
      <c r="N290" s="183"/>
      <c r="O290" s="200">
        <v>33.700000000000003</v>
      </c>
      <c r="P290" s="200"/>
      <c r="Q290" s="123">
        <f t="shared" si="64"/>
        <v>267.73812500000003</v>
      </c>
      <c r="R290" s="201">
        <f t="shared" si="62"/>
        <v>1700.1370937500001</v>
      </c>
      <c r="S290" s="137">
        <v>1700</v>
      </c>
      <c r="T290" s="202">
        <v>89.26</v>
      </c>
      <c r="U290" s="183"/>
      <c r="V290" s="180"/>
      <c r="W290" s="183">
        <f>Q290-T290</f>
        <v>178.47812500000003</v>
      </c>
    </row>
    <row r="291" spans="1:23" s="173" customFormat="1">
      <c r="A291" s="158"/>
      <c r="B291" s="173" t="s">
        <v>651</v>
      </c>
      <c r="C291" s="225" t="s">
        <v>653</v>
      </c>
      <c r="D291" s="173" t="s">
        <v>643</v>
      </c>
      <c r="E291" s="173" t="s">
        <v>643</v>
      </c>
      <c r="F291" s="158"/>
      <c r="G291" t="s">
        <v>209</v>
      </c>
      <c r="H291" s="200">
        <v>359.99</v>
      </c>
      <c r="I291" s="182">
        <f t="shared" si="63"/>
        <v>385.18930000000006</v>
      </c>
      <c r="J291" s="183">
        <f t="shared" si="58"/>
        <v>389.68917500000003</v>
      </c>
      <c r="K291" s="183">
        <f t="shared" si="115"/>
        <v>4.4998749999999745</v>
      </c>
      <c r="L291" s="183"/>
      <c r="M291" s="200">
        <v>40</v>
      </c>
      <c r="N291" s="183"/>
      <c r="O291" s="200">
        <v>42.76</v>
      </c>
      <c r="P291" s="200"/>
      <c r="Q291" s="123">
        <f t="shared" si="64"/>
        <v>472.44917500000003</v>
      </c>
      <c r="R291" s="201">
        <f t="shared" si="62"/>
        <v>3000.0522612499999</v>
      </c>
      <c r="S291" s="137">
        <v>3000</v>
      </c>
      <c r="T291" s="202">
        <v>311.75</v>
      </c>
      <c r="U291" s="183"/>
      <c r="V291" s="180"/>
      <c r="W291" s="183">
        <f>Q291-T291</f>
        <v>160.69917500000003</v>
      </c>
    </row>
    <row r="292" spans="1:23" s="209" customFormat="1">
      <c r="A292" s="208"/>
      <c r="F292" s="208"/>
      <c r="H292" s="210"/>
      <c r="I292" s="211"/>
      <c r="J292" s="211"/>
      <c r="K292" s="211"/>
      <c r="L292" s="211"/>
      <c r="M292" s="210"/>
      <c r="N292" s="211"/>
      <c r="O292" s="210"/>
      <c r="P292" s="210"/>
      <c r="Q292" s="210"/>
      <c r="R292" s="212"/>
      <c r="S292" s="213"/>
      <c r="T292" s="214"/>
      <c r="U292" s="211"/>
      <c r="V292" s="96"/>
      <c r="W292" s="211"/>
    </row>
    <row r="293" spans="1:23" s="173" customFormat="1">
      <c r="A293" s="158">
        <v>75</v>
      </c>
      <c r="B293" s="173" t="s">
        <v>695</v>
      </c>
      <c r="C293" s="173" t="s">
        <v>696</v>
      </c>
      <c r="F293" s="223" t="s">
        <v>721</v>
      </c>
      <c r="G293" s="173" t="s">
        <v>697</v>
      </c>
      <c r="H293" s="200">
        <v>175.5</v>
      </c>
      <c r="I293" s="182">
        <f t="shared" si="63"/>
        <v>187.78500000000003</v>
      </c>
      <c r="J293" s="183">
        <f t="shared" ref="J293:J356" si="166">H293*1.0825</f>
        <v>189.97874999999999</v>
      </c>
      <c r="K293" s="183">
        <f t="shared" si="115"/>
        <v>2.1937499999999659</v>
      </c>
      <c r="L293" s="183"/>
      <c r="M293" s="200">
        <v>36</v>
      </c>
      <c r="N293" s="183"/>
      <c r="O293" s="200">
        <v>22.85</v>
      </c>
      <c r="P293" s="200"/>
      <c r="Q293" s="123">
        <f t="shared" si="64"/>
        <v>248.82874999999999</v>
      </c>
      <c r="R293" s="201">
        <f t="shared" si="62"/>
        <v>1580.0625624999998</v>
      </c>
      <c r="S293" s="137">
        <v>1580</v>
      </c>
      <c r="T293" s="202">
        <v>189.98</v>
      </c>
      <c r="U293" s="183"/>
      <c r="V293" s="180">
        <f>21+6</f>
        <v>27</v>
      </c>
      <c r="W293" s="183">
        <f>Q293-T293-V293</f>
        <v>31.848749999999995</v>
      </c>
    </row>
    <row r="294" spans="1:23" s="173" customFormat="1">
      <c r="A294" s="158"/>
      <c r="B294" s="173" t="s">
        <v>651</v>
      </c>
      <c r="C294" s="173" t="s">
        <v>713</v>
      </c>
      <c r="F294" s="245" t="s">
        <v>724</v>
      </c>
      <c r="G294" s="173" t="s">
        <v>698</v>
      </c>
      <c r="H294" s="200">
        <v>106.5</v>
      </c>
      <c r="I294" s="182">
        <f t="shared" si="63"/>
        <v>113.95500000000001</v>
      </c>
      <c r="J294" s="183">
        <f t="shared" si="166"/>
        <v>115.28625</v>
      </c>
      <c r="K294" s="183">
        <f t="shared" si="115"/>
        <v>1.3312499999999829</v>
      </c>
      <c r="L294" s="183"/>
      <c r="M294" s="200">
        <v>36</v>
      </c>
      <c r="N294" s="183"/>
      <c r="O294" s="200">
        <v>28.25</v>
      </c>
      <c r="P294" s="200"/>
      <c r="Q294" s="123">
        <f t="shared" si="64"/>
        <v>179.53625</v>
      </c>
      <c r="R294" s="201">
        <f t="shared" si="62"/>
        <v>1140.0551874999999</v>
      </c>
      <c r="S294" s="137">
        <v>1140</v>
      </c>
      <c r="T294" s="202">
        <v>115.28</v>
      </c>
      <c r="U294" s="237" t="s">
        <v>711</v>
      </c>
      <c r="V294" s="232">
        <f>22+6</f>
        <v>28</v>
      </c>
      <c r="W294" s="237">
        <f>Q294+Q295-T294-T295-V294-15.07</f>
        <v>105.45417499999999</v>
      </c>
    </row>
    <row r="295" spans="1:23">
      <c r="C295" t="s">
        <v>722</v>
      </c>
      <c r="F295" s="245"/>
      <c r="G295" s="173" t="s">
        <v>698</v>
      </c>
      <c r="H295" s="1">
        <v>67.489999999999995</v>
      </c>
      <c r="I295" s="172">
        <f t="shared" si="63"/>
        <v>72.214299999999994</v>
      </c>
      <c r="J295" s="167">
        <f t="shared" si="166"/>
        <v>73.057924999999997</v>
      </c>
      <c r="K295" s="167">
        <f t="shared" si="115"/>
        <v>0.84362500000000296</v>
      </c>
      <c r="M295" s="1">
        <v>20</v>
      </c>
      <c r="O295" s="1">
        <v>64.27</v>
      </c>
      <c r="Q295" s="5">
        <f t="shared" si="64"/>
        <v>157.32792499999999</v>
      </c>
      <c r="R295" s="23">
        <f t="shared" si="62"/>
        <v>999.03232374999993</v>
      </c>
      <c r="S295" s="219">
        <v>999</v>
      </c>
      <c r="T295" s="16">
        <v>73.06</v>
      </c>
      <c r="U295" s="237"/>
      <c r="V295" s="232"/>
      <c r="W295" s="237"/>
    </row>
    <row r="296" spans="1:23">
      <c r="C296" t="s">
        <v>699</v>
      </c>
      <c r="F296" s="57" t="s">
        <v>710</v>
      </c>
      <c r="G296" s="173" t="s">
        <v>700</v>
      </c>
      <c r="H296" s="1">
        <v>67.489999999999995</v>
      </c>
      <c r="I296" s="172">
        <f t="shared" si="63"/>
        <v>72.214299999999994</v>
      </c>
      <c r="J296" s="167">
        <f t="shared" si="166"/>
        <v>73.057924999999997</v>
      </c>
      <c r="K296" s="167">
        <f t="shared" si="115"/>
        <v>0.84362500000000296</v>
      </c>
      <c r="M296" s="1">
        <v>21</v>
      </c>
      <c r="O296" s="1">
        <v>94.92</v>
      </c>
      <c r="Q296" s="5">
        <f t="shared" si="64"/>
        <v>188.977925</v>
      </c>
      <c r="R296" s="23">
        <f t="shared" si="62"/>
        <v>1200.0098237499999</v>
      </c>
      <c r="S296" s="219">
        <v>1200</v>
      </c>
      <c r="T296" s="16">
        <v>73.06</v>
      </c>
      <c r="V296" s="95">
        <f>16+3</f>
        <v>19</v>
      </c>
      <c r="W296" s="12">
        <f>Q296-T296-V296</f>
        <v>96.917924999999997</v>
      </c>
    </row>
    <row r="297" spans="1:23" s="7" customFormat="1">
      <c r="A297" s="32"/>
      <c r="F297" s="32"/>
      <c r="H297" s="8"/>
      <c r="I297" s="13"/>
      <c r="J297" s="13"/>
      <c r="K297" s="13"/>
      <c r="L297" s="13"/>
      <c r="M297" s="8"/>
      <c r="N297" s="13"/>
      <c r="O297" s="8"/>
      <c r="P297" s="8"/>
      <c r="Q297" s="8"/>
      <c r="R297" s="68"/>
      <c r="S297" s="48"/>
      <c r="T297" s="40"/>
      <c r="U297" s="13"/>
      <c r="V297" s="96"/>
      <c r="W297" s="13"/>
    </row>
    <row r="298" spans="1:23">
      <c r="I298" s="172">
        <f t="shared" si="63"/>
        <v>0</v>
      </c>
      <c r="J298" s="167">
        <f t="shared" si="166"/>
        <v>0</v>
      </c>
      <c r="K298" s="167">
        <f t="shared" si="115"/>
        <v>0</v>
      </c>
      <c r="Q298" s="5">
        <f t="shared" si="64"/>
        <v>0</v>
      </c>
      <c r="R298" s="23">
        <f t="shared" si="62"/>
        <v>0</v>
      </c>
    </row>
    <row r="299" spans="1:23">
      <c r="I299" s="172">
        <f t="shared" si="63"/>
        <v>0</v>
      </c>
      <c r="J299" s="167">
        <f t="shared" si="166"/>
        <v>0</v>
      </c>
      <c r="K299" s="167">
        <f t="shared" si="115"/>
        <v>0</v>
      </c>
      <c r="Q299" s="5">
        <f t="shared" si="64"/>
        <v>0</v>
      </c>
      <c r="R299" s="23">
        <f t="shared" ref="R299:R362" si="167">Q299*6.35</f>
        <v>0</v>
      </c>
    </row>
    <row r="300" spans="1:23">
      <c r="I300" s="172">
        <f t="shared" ref="I300:I363" si="168">H300*1.07</f>
        <v>0</v>
      </c>
      <c r="J300" s="167">
        <f t="shared" si="166"/>
        <v>0</v>
      </c>
      <c r="K300" s="167">
        <f t="shared" si="115"/>
        <v>0</v>
      </c>
      <c r="Q300" s="5">
        <f t="shared" ref="Q300:Q363" si="169">SUM(J300,M300,O300)</f>
        <v>0</v>
      </c>
      <c r="R300" s="23">
        <f t="shared" si="167"/>
        <v>0</v>
      </c>
    </row>
    <row r="301" spans="1:23">
      <c r="I301" s="172">
        <f t="shared" si="168"/>
        <v>0</v>
      </c>
      <c r="J301" s="167">
        <f t="shared" si="166"/>
        <v>0</v>
      </c>
      <c r="K301" s="167">
        <f t="shared" si="115"/>
        <v>0</v>
      </c>
      <c r="Q301" s="5">
        <f t="shared" si="169"/>
        <v>0</v>
      </c>
      <c r="R301" s="23">
        <f t="shared" si="167"/>
        <v>0</v>
      </c>
    </row>
    <row r="302" spans="1:23">
      <c r="I302" s="172">
        <f t="shared" si="168"/>
        <v>0</v>
      </c>
      <c r="J302" s="167">
        <f t="shared" si="166"/>
        <v>0</v>
      </c>
      <c r="K302" s="167">
        <f t="shared" si="115"/>
        <v>0</v>
      </c>
      <c r="Q302" s="5">
        <f t="shared" si="169"/>
        <v>0</v>
      </c>
      <c r="R302" s="23">
        <f t="shared" si="167"/>
        <v>0</v>
      </c>
    </row>
    <row r="303" spans="1:23">
      <c r="I303" s="172">
        <f t="shared" si="168"/>
        <v>0</v>
      </c>
      <c r="J303" s="167">
        <f t="shared" si="166"/>
        <v>0</v>
      </c>
      <c r="K303" s="167">
        <f t="shared" si="115"/>
        <v>0</v>
      </c>
      <c r="Q303" s="5">
        <f t="shared" si="169"/>
        <v>0</v>
      </c>
      <c r="R303" s="23">
        <f t="shared" si="167"/>
        <v>0</v>
      </c>
    </row>
    <row r="304" spans="1:23">
      <c r="I304" s="172">
        <f t="shared" si="168"/>
        <v>0</v>
      </c>
      <c r="J304" s="167">
        <f t="shared" si="166"/>
        <v>0</v>
      </c>
      <c r="K304" s="167">
        <f t="shared" si="115"/>
        <v>0</v>
      </c>
      <c r="Q304" s="5">
        <f t="shared" si="169"/>
        <v>0</v>
      </c>
      <c r="R304" s="23">
        <f t="shared" si="167"/>
        <v>0</v>
      </c>
    </row>
    <row r="305" spans="9:18">
      <c r="I305" s="172">
        <f t="shared" si="168"/>
        <v>0</v>
      </c>
      <c r="J305" s="167">
        <f t="shared" si="166"/>
        <v>0</v>
      </c>
      <c r="K305" s="167">
        <f t="shared" si="115"/>
        <v>0</v>
      </c>
      <c r="Q305" s="5">
        <f t="shared" si="169"/>
        <v>0</v>
      </c>
      <c r="R305" s="23">
        <f t="shared" si="167"/>
        <v>0</v>
      </c>
    </row>
    <row r="306" spans="9:18">
      <c r="I306" s="172">
        <f t="shared" si="168"/>
        <v>0</v>
      </c>
      <c r="J306" s="167">
        <f t="shared" si="166"/>
        <v>0</v>
      </c>
      <c r="K306" s="167">
        <f t="shared" si="115"/>
        <v>0</v>
      </c>
      <c r="Q306" s="5">
        <f t="shared" si="169"/>
        <v>0</v>
      </c>
      <c r="R306" s="23">
        <f t="shared" si="167"/>
        <v>0</v>
      </c>
    </row>
    <row r="307" spans="9:18">
      <c r="I307" s="172">
        <f t="shared" si="168"/>
        <v>0</v>
      </c>
      <c r="J307" s="167">
        <f t="shared" si="166"/>
        <v>0</v>
      </c>
      <c r="K307" s="167">
        <f t="shared" si="115"/>
        <v>0</v>
      </c>
      <c r="Q307" s="5">
        <f t="shared" si="169"/>
        <v>0</v>
      </c>
      <c r="R307" s="23">
        <f t="shared" si="167"/>
        <v>0</v>
      </c>
    </row>
    <row r="308" spans="9:18">
      <c r="I308" s="172">
        <f t="shared" si="168"/>
        <v>0</v>
      </c>
      <c r="J308" s="167">
        <f t="shared" si="166"/>
        <v>0</v>
      </c>
      <c r="K308" s="167">
        <f t="shared" si="115"/>
        <v>0</v>
      </c>
      <c r="Q308" s="5">
        <f t="shared" si="169"/>
        <v>0</v>
      </c>
      <c r="R308" s="23">
        <f t="shared" si="167"/>
        <v>0</v>
      </c>
    </row>
    <row r="309" spans="9:18">
      <c r="I309" s="172">
        <f t="shared" si="168"/>
        <v>0</v>
      </c>
      <c r="J309" s="167">
        <f t="shared" si="166"/>
        <v>0</v>
      </c>
      <c r="K309" s="167">
        <f t="shared" si="115"/>
        <v>0</v>
      </c>
      <c r="Q309" s="5">
        <f t="shared" si="169"/>
        <v>0</v>
      </c>
      <c r="R309" s="23">
        <f t="shared" si="167"/>
        <v>0</v>
      </c>
    </row>
    <row r="310" spans="9:18">
      <c r="I310" s="172">
        <f t="shared" si="168"/>
        <v>0</v>
      </c>
      <c r="J310" s="167">
        <f t="shared" si="166"/>
        <v>0</v>
      </c>
      <c r="K310" s="167">
        <f t="shared" si="115"/>
        <v>0</v>
      </c>
      <c r="Q310" s="5">
        <f t="shared" si="169"/>
        <v>0</v>
      </c>
      <c r="R310" s="23">
        <f t="shared" si="167"/>
        <v>0</v>
      </c>
    </row>
    <row r="311" spans="9:18">
      <c r="I311" s="172">
        <f t="shared" si="168"/>
        <v>0</v>
      </c>
      <c r="J311" s="167">
        <f t="shared" si="166"/>
        <v>0</v>
      </c>
      <c r="K311" s="167">
        <f t="shared" si="115"/>
        <v>0</v>
      </c>
      <c r="Q311" s="5">
        <f t="shared" si="169"/>
        <v>0</v>
      </c>
      <c r="R311" s="23">
        <f t="shared" si="167"/>
        <v>0</v>
      </c>
    </row>
    <row r="312" spans="9:18">
      <c r="I312" s="172">
        <f t="shared" si="168"/>
        <v>0</v>
      </c>
      <c r="J312" s="167">
        <f t="shared" si="166"/>
        <v>0</v>
      </c>
      <c r="K312" s="167">
        <f t="shared" si="115"/>
        <v>0</v>
      </c>
      <c r="Q312" s="5">
        <f t="shared" si="169"/>
        <v>0</v>
      </c>
      <c r="R312" s="23">
        <f t="shared" si="167"/>
        <v>0</v>
      </c>
    </row>
    <row r="313" spans="9:18">
      <c r="I313" s="172">
        <f t="shared" si="168"/>
        <v>0</v>
      </c>
      <c r="J313" s="167">
        <f t="shared" si="166"/>
        <v>0</v>
      </c>
      <c r="K313" s="167">
        <f t="shared" si="115"/>
        <v>0</v>
      </c>
      <c r="Q313" s="5">
        <f t="shared" si="169"/>
        <v>0</v>
      </c>
      <c r="R313" s="23">
        <f t="shared" si="167"/>
        <v>0</v>
      </c>
    </row>
    <row r="314" spans="9:18">
      <c r="I314" s="172">
        <f t="shared" si="168"/>
        <v>0</v>
      </c>
      <c r="J314" s="167">
        <f t="shared" si="166"/>
        <v>0</v>
      </c>
      <c r="K314" s="167">
        <f t="shared" si="115"/>
        <v>0</v>
      </c>
      <c r="Q314" s="5">
        <f t="shared" si="169"/>
        <v>0</v>
      </c>
      <c r="R314" s="23">
        <f t="shared" si="167"/>
        <v>0</v>
      </c>
    </row>
    <row r="315" spans="9:18">
      <c r="I315" s="172">
        <f t="shared" si="168"/>
        <v>0</v>
      </c>
      <c r="J315" s="167">
        <f t="shared" si="166"/>
        <v>0</v>
      </c>
      <c r="K315" s="167">
        <f t="shared" si="115"/>
        <v>0</v>
      </c>
      <c r="Q315" s="5">
        <f t="shared" si="169"/>
        <v>0</v>
      </c>
      <c r="R315" s="23">
        <f t="shared" si="167"/>
        <v>0</v>
      </c>
    </row>
    <row r="316" spans="9:18">
      <c r="I316" s="172">
        <f t="shared" si="168"/>
        <v>0</v>
      </c>
      <c r="J316" s="167">
        <f t="shared" si="166"/>
        <v>0</v>
      </c>
      <c r="K316" s="167">
        <f t="shared" si="115"/>
        <v>0</v>
      </c>
      <c r="Q316" s="5">
        <f t="shared" si="169"/>
        <v>0</v>
      </c>
      <c r="R316" s="23">
        <f t="shared" si="167"/>
        <v>0</v>
      </c>
    </row>
    <row r="317" spans="9:18">
      <c r="I317" s="172">
        <f t="shared" si="168"/>
        <v>0</v>
      </c>
      <c r="J317" s="167">
        <f t="shared" si="166"/>
        <v>0</v>
      </c>
      <c r="K317" s="167">
        <f t="shared" si="115"/>
        <v>0</v>
      </c>
      <c r="Q317" s="5">
        <f t="shared" si="169"/>
        <v>0</v>
      </c>
      <c r="R317" s="23">
        <f t="shared" si="167"/>
        <v>0</v>
      </c>
    </row>
    <row r="318" spans="9:18">
      <c r="I318" s="172">
        <f t="shared" si="168"/>
        <v>0</v>
      </c>
      <c r="J318" s="167">
        <f t="shared" si="166"/>
        <v>0</v>
      </c>
      <c r="K318" s="167">
        <f t="shared" si="115"/>
        <v>0</v>
      </c>
      <c r="Q318" s="5">
        <f t="shared" si="169"/>
        <v>0</v>
      </c>
      <c r="R318" s="23">
        <f t="shared" si="167"/>
        <v>0</v>
      </c>
    </row>
    <row r="319" spans="9:18">
      <c r="I319" s="172">
        <f t="shared" si="168"/>
        <v>0</v>
      </c>
      <c r="J319" s="167">
        <f t="shared" si="166"/>
        <v>0</v>
      </c>
      <c r="K319" s="203">
        <f t="shared" si="115"/>
        <v>0</v>
      </c>
      <c r="Q319" s="5">
        <f t="shared" si="169"/>
        <v>0</v>
      </c>
      <c r="R319" s="23">
        <f t="shared" si="167"/>
        <v>0</v>
      </c>
    </row>
    <row r="320" spans="9:18">
      <c r="I320" s="172">
        <f t="shared" si="168"/>
        <v>0</v>
      </c>
      <c r="J320" s="167">
        <f t="shared" si="166"/>
        <v>0</v>
      </c>
      <c r="K320" s="203">
        <f t="shared" si="115"/>
        <v>0</v>
      </c>
      <c r="Q320" s="5">
        <f t="shared" si="169"/>
        <v>0</v>
      </c>
      <c r="R320" s="23">
        <f t="shared" si="167"/>
        <v>0</v>
      </c>
    </row>
    <row r="321" spans="9:18">
      <c r="I321" s="172">
        <f t="shared" si="168"/>
        <v>0</v>
      </c>
      <c r="J321" s="167">
        <f t="shared" si="166"/>
        <v>0</v>
      </c>
      <c r="K321" s="203">
        <f t="shared" si="115"/>
        <v>0</v>
      </c>
      <c r="Q321" s="5">
        <f t="shared" si="169"/>
        <v>0</v>
      </c>
      <c r="R321" s="23">
        <f t="shared" si="167"/>
        <v>0</v>
      </c>
    </row>
    <row r="322" spans="9:18">
      <c r="I322" s="172">
        <f t="shared" si="168"/>
        <v>0</v>
      </c>
      <c r="J322" s="167">
        <f t="shared" si="166"/>
        <v>0</v>
      </c>
      <c r="K322" s="203">
        <f t="shared" si="115"/>
        <v>0</v>
      </c>
      <c r="Q322" s="5">
        <f t="shared" si="169"/>
        <v>0</v>
      </c>
      <c r="R322" s="23">
        <f t="shared" si="167"/>
        <v>0</v>
      </c>
    </row>
    <row r="323" spans="9:18">
      <c r="I323" s="172">
        <f t="shared" si="168"/>
        <v>0</v>
      </c>
      <c r="J323" s="167">
        <f t="shared" si="166"/>
        <v>0</v>
      </c>
      <c r="K323" s="203">
        <f t="shared" si="115"/>
        <v>0</v>
      </c>
      <c r="Q323" s="5">
        <f t="shared" si="169"/>
        <v>0</v>
      </c>
      <c r="R323" s="23">
        <f t="shared" si="167"/>
        <v>0</v>
      </c>
    </row>
    <row r="324" spans="9:18">
      <c r="I324" s="172">
        <f t="shared" si="168"/>
        <v>0</v>
      </c>
      <c r="J324" s="167">
        <f t="shared" si="166"/>
        <v>0</v>
      </c>
      <c r="K324" s="203">
        <f t="shared" si="115"/>
        <v>0</v>
      </c>
      <c r="Q324" s="5">
        <f t="shared" si="169"/>
        <v>0</v>
      </c>
      <c r="R324" s="23">
        <f t="shared" si="167"/>
        <v>0</v>
      </c>
    </row>
    <row r="325" spans="9:18">
      <c r="I325" s="172">
        <f t="shared" si="168"/>
        <v>0</v>
      </c>
      <c r="J325" s="167">
        <f t="shared" si="166"/>
        <v>0</v>
      </c>
      <c r="K325" s="203">
        <f t="shared" si="115"/>
        <v>0</v>
      </c>
      <c r="Q325" s="5">
        <f t="shared" si="169"/>
        <v>0</v>
      </c>
      <c r="R325" s="23">
        <f t="shared" si="167"/>
        <v>0</v>
      </c>
    </row>
    <row r="326" spans="9:18">
      <c r="I326" s="172">
        <f t="shared" si="168"/>
        <v>0</v>
      </c>
      <c r="J326" s="167">
        <f t="shared" si="166"/>
        <v>0</v>
      </c>
      <c r="K326" s="203">
        <f t="shared" si="115"/>
        <v>0</v>
      </c>
      <c r="Q326" s="5">
        <f t="shared" si="169"/>
        <v>0</v>
      </c>
      <c r="R326" s="23">
        <f t="shared" si="167"/>
        <v>0</v>
      </c>
    </row>
    <row r="327" spans="9:18">
      <c r="I327" s="172">
        <f t="shared" si="168"/>
        <v>0</v>
      </c>
      <c r="J327" s="167">
        <f t="shared" si="166"/>
        <v>0</v>
      </c>
      <c r="K327" s="203">
        <f t="shared" si="115"/>
        <v>0</v>
      </c>
      <c r="Q327" s="5">
        <f t="shared" si="169"/>
        <v>0</v>
      </c>
      <c r="R327" s="23">
        <f t="shared" si="167"/>
        <v>0</v>
      </c>
    </row>
    <row r="328" spans="9:18">
      <c r="I328" s="172">
        <f t="shared" si="168"/>
        <v>0</v>
      </c>
      <c r="J328" s="167">
        <f t="shared" si="166"/>
        <v>0</v>
      </c>
      <c r="K328" s="203">
        <f t="shared" si="115"/>
        <v>0</v>
      </c>
      <c r="Q328" s="5">
        <f t="shared" si="169"/>
        <v>0</v>
      </c>
      <c r="R328" s="23">
        <f t="shared" si="167"/>
        <v>0</v>
      </c>
    </row>
    <row r="329" spans="9:18">
      <c r="I329" s="172">
        <f t="shared" si="168"/>
        <v>0</v>
      </c>
      <c r="J329" s="167">
        <f t="shared" si="166"/>
        <v>0</v>
      </c>
      <c r="K329" s="203">
        <f t="shared" si="115"/>
        <v>0</v>
      </c>
      <c r="Q329" s="5">
        <f t="shared" si="169"/>
        <v>0</v>
      </c>
      <c r="R329" s="23">
        <f t="shared" si="167"/>
        <v>0</v>
      </c>
    </row>
    <row r="330" spans="9:18">
      <c r="I330" s="172">
        <f t="shared" si="168"/>
        <v>0</v>
      </c>
      <c r="J330" s="167">
        <f t="shared" si="166"/>
        <v>0</v>
      </c>
      <c r="K330" s="203">
        <f t="shared" si="115"/>
        <v>0</v>
      </c>
      <c r="Q330" s="5">
        <f t="shared" si="169"/>
        <v>0</v>
      </c>
      <c r="R330" s="23">
        <f t="shared" si="167"/>
        <v>0</v>
      </c>
    </row>
    <row r="331" spans="9:18">
      <c r="I331" s="172">
        <f t="shared" si="168"/>
        <v>0</v>
      </c>
      <c r="J331" s="167">
        <f t="shared" si="166"/>
        <v>0</v>
      </c>
      <c r="K331" s="203">
        <f t="shared" si="115"/>
        <v>0</v>
      </c>
      <c r="Q331" s="5">
        <f t="shared" si="169"/>
        <v>0</v>
      </c>
      <c r="R331" s="23">
        <f t="shared" si="167"/>
        <v>0</v>
      </c>
    </row>
    <row r="332" spans="9:18">
      <c r="I332" s="172">
        <f t="shared" si="168"/>
        <v>0</v>
      </c>
      <c r="J332" s="167">
        <f t="shared" si="166"/>
        <v>0</v>
      </c>
      <c r="K332" s="203">
        <f t="shared" si="115"/>
        <v>0</v>
      </c>
      <c r="Q332" s="5">
        <f t="shared" si="169"/>
        <v>0</v>
      </c>
      <c r="R332" s="23">
        <f t="shared" si="167"/>
        <v>0</v>
      </c>
    </row>
    <row r="333" spans="9:18">
      <c r="I333" s="172">
        <f t="shared" si="168"/>
        <v>0</v>
      </c>
      <c r="J333" s="167">
        <f t="shared" si="166"/>
        <v>0</v>
      </c>
      <c r="K333" s="203">
        <f t="shared" si="115"/>
        <v>0</v>
      </c>
      <c r="Q333" s="5">
        <f t="shared" si="169"/>
        <v>0</v>
      </c>
      <c r="R333" s="23">
        <f t="shared" si="167"/>
        <v>0</v>
      </c>
    </row>
    <row r="334" spans="9:18">
      <c r="I334" s="172">
        <f t="shared" si="168"/>
        <v>0</v>
      </c>
      <c r="J334" s="167">
        <f t="shared" si="166"/>
        <v>0</v>
      </c>
      <c r="K334" s="203">
        <f t="shared" si="115"/>
        <v>0</v>
      </c>
      <c r="Q334" s="5">
        <f t="shared" si="169"/>
        <v>0</v>
      </c>
      <c r="R334" s="23">
        <f t="shared" si="167"/>
        <v>0</v>
      </c>
    </row>
    <row r="335" spans="9:18">
      <c r="I335" s="172">
        <f t="shared" si="168"/>
        <v>0</v>
      </c>
      <c r="J335" s="167">
        <f t="shared" si="166"/>
        <v>0</v>
      </c>
      <c r="K335" s="203">
        <f t="shared" si="115"/>
        <v>0</v>
      </c>
      <c r="Q335" s="5">
        <f t="shared" si="169"/>
        <v>0</v>
      </c>
      <c r="R335" s="23">
        <f t="shared" si="167"/>
        <v>0</v>
      </c>
    </row>
    <row r="336" spans="9:18">
      <c r="I336" s="172">
        <f t="shared" si="168"/>
        <v>0</v>
      </c>
      <c r="J336" s="167">
        <f t="shared" si="166"/>
        <v>0</v>
      </c>
      <c r="K336" s="203">
        <f t="shared" si="115"/>
        <v>0</v>
      </c>
      <c r="Q336" s="5">
        <f t="shared" si="169"/>
        <v>0</v>
      </c>
      <c r="R336" s="23">
        <f t="shared" si="167"/>
        <v>0</v>
      </c>
    </row>
    <row r="337" spans="9:18">
      <c r="I337" s="172">
        <f t="shared" si="168"/>
        <v>0</v>
      </c>
      <c r="J337" s="167">
        <f t="shared" si="166"/>
        <v>0</v>
      </c>
      <c r="K337" s="203">
        <f t="shared" ref="K337:K364" si="170">J337-I337</f>
        <v>0</v>
      </c>
      <c r="Q337" s="5">
        <f t="shared" si="169"/>
        <v>0</v>
      </c>
      <c r="R337" s="23">
        <f t="shared" si="167"/>
        <v>0</v>
      </c>
    </row>
    <row r="338" spans="9:18">
      <c r="I338" s="172">
        <f t="shared" si="168"/>
        <v>0</v>
      </c>
      <c r="J338" s="167">
        <f t="shared" si="166"/>
        <v>0</v>
      </c>
      <c r="K338" s="203">
        <f t="shared" si="170"/>
        <v>0</v>
      </c>
      <c r="Q338" s="5">
        <f t="shared" si="169"/>
        <v>0</v>
      </c>
      <c r="R338" s="23">
        <f t="shared" si="167"/>
        <v>0</v>
      </c>
    </row>
    <row r="339" spans="9:18">
      <c r="I339" s="172">
        <f t="shared" si="168"/>
        <v>0</v>
      </c>
      <c r="J339" s="167">
        <f t="shared" si="166"/>
        <v>0</v>
      </c>
      <c r="K339" s="203">
        <f t="shared" si="170"/>
        <v>0</v>
      </c>
      <c r="Q339" s="5">
        <f t="shared" si="169"/>
        <v>0</v>
      </c>
      <c r="R339" s="23">
        <f t="shared" si="167"/>
        <v>0</v>
      </c>
    </row>
    <row r="340" spans="9:18">
      <c r="I340" s="172">
        <f t="shared" si="168"/>
        <v>0</v>
      </c>
      <c r="J340" s="167">
        <f t="shared" si="166"/>
        <v>0</v>
      </c>
      <c r="K340" s="203">
        <f t="shared" si="170"/>
        <v>0</v>
      </c>
      <c r="Q340" s="5">
        <f t="shared" si="169"/>
        <v>0</v>
      </c>
      <c r="R340" s="23">
        <f t="shared" si="167"/>
        <v>0</v>
      </c>
    </row>
    <row r="341" spans="9:18">
      <c r="I341" s="172">
        <f t="shared" si="168"/>
        <v>0</v>
      </c>
      <c r="J341" s="167">
        <f t="shared" si="166"/>
        <v>0</v>
      </c>
      <c r="K341" s="203">
        <f t="shared" si="170"/>
        <v>0</v>
      </c>
      <c r="Q341" s="5">
        <f t="shared" si="169"/>
        <v>0</v>
      </c>
      <c r="R341" s="23">
        <f t="shared" si="167"/>
        <v>0</v>
      </c>
    </row>
    <row r="342" spans="9:18">
      <c r="I342" s="172">
        <f t="shared" si="168"/>
        <v>0</v>
      </c>
      <c r="J342" s="167">
        <f t="shared" si="166"/>
        <v>0</v>
      </c>
      <c r="K342" s="203">
        <f t="shared" si="170"/>
        <v>0</v>
      </c>
      <c r="Q342" s="5">
        <f t="shared" si="169"/>
        <v>0</v>
      </c>
      <c r="R342" s="23">
        <f t="shared" si="167"/>
        <v>0</v>
      </c>
    </row>
    <row r="343" spans="9:18">
      <c r="I343" s="172">
        <f t="shared" si="168"/>
        <v>0</v>
      </c>
      <c r="J343" s="167">
        <f t="shared" si="166"/>
        <v>0</v>
      </c>
      <c r="K343" s="203">
        <f t="shared" si="170"/>
        <v>0</v>
      </c>
      <c r="Q343" s="5">
        <f t="shared" si="169"/>
        <v>0</v>
      </c>
      <c r="R343" s="23">
        <f t="shared" si="167"/>
        <v>0</v>
      </c>
    </row>
    <row r="344" spans="9:18">
      <c r="I344" s="172">
        <f t="shared" si="168"/>
        <v>0</v>
      </c>
      <c r="J344" s="167">
        <f t="shared" si="166"/>
        <v>0</v>
      </c>
      <c r="K344" s="203">
        <f t="shared" si="170"/>
        <v>0</v>
      </c>
      <c r="Q344" s="5">
        <f t="shared" si="169"/>
        <v>0</v>
      </c>
      <c r="R344" s="23">
        <f t="shared" si="167"/>
        <v>0</v>
      </c>
    </row>
    <row r="345" spans="9:18">
      <c r="I345" s="172">
        <f t="shared" si="168"/>
        <v>0</v>
      </c>
      <c r="J345" s="167">
        <f t="shared" si="166"/>
        <v>0</v>
      </c>
      <c r="K345" s="203">
        <f t="shared" si="170"/>
        <v>0</v>
      </c>
      <c r="Q345" s="5">
        <f t="shared" si="169"/>
        <v>0</v>
      </c>
      <c r="R345" s="23">
        <f t="shared" si="167"/>
        <v>0</v>
      </c>
    </row>
    <row r="346" spans="9:18">
      <c r="I346" s="172">
        <f t="shared" si="168"/>
        <v>0</v>
      </c>
      <c r="J346" s="167">
        <f t="shared" si="166"/>
        <v>0</v>
      </c>
      <c r="K346" s="203">
        <f t="shared" si="170"/>
        <v>0</v>
      </c>
      <c r="Q346" s="5">
        <f t="shared" si="169"/>
        <v>0</v>
      </c>
      <c r="R346" s="23">
        <f t="shared" si="167"/>
        <v>0</v>
      </c>
    </row>
    <row r="347" spans="9:18">
      <c r="I347" s="172">
        <f t="shared" si="168"/>
        <v>0</v>
      </c>
      <c r="J347" s="167">
        <f t="shared" si="166"/>
        <v>0</v>
      </c>
      <c r="K347" s="203">
        <f t="shared" si="170"/>
        <v>0</v>
      </c>
      <c r="Q347" s="5">
        <f t="shared" si="169"/>
        <v>0</v>
      </c>
      <c r="R347" s="23">
        <f t="shared" si="167"/>
        <v>0</v>
      </c>
    </row>
    <row r="348" spans="9:18">
      <c r="I348" s="172">
        <f t="shared" si="168"/>
        <v>0</v>
      </c>
      <c r="J348" s="167">
        <f t="shared" si="166"/>
        <v>0</v>
      </c>
      <c r="K348" s="203">
        <f t="shared" si="170"/>
        <v>0</v>
      </c>
      <c r="Q348" s="5">
        <f t="shared" si="169"/>
        <v>0</v>
      </c>
      <c r="R348" s="23">
        <f t="shared" si="167"/>
        <v>0</v>
      </c>
    </row>
    <row r="349" spans="9:18">
      <c r="I349" s="172">
        <f t="shared" si="168"/>
        <v>0</v>
      </c>
      <c r="J349" s="167">
        <f t="shared" si="166"/>
        <v>0</v>
      </c>
      <c r="K349" s="203">
        <f t="shared" si="170"/>
        <v>0</v>
      </c>
      <c r="Q349" s="5">
        <f t="shared" si="169"/>
        <v>0</v>
      </c>
      <c r="R349" s="23">
        <f t="shared" si="167"/>
        <v>0</v>
      </c>
    </row>
    <row r="350" spans="9:18">
      <c r="I350" s="172">
        <f t="shared" si="168"/>
        <v>0</v>
      </c>
      <c r="J350" s="167">
        <f t="shared" si="166"/>
        <v>0</v>
      </c>
      <c r="K350" s="203">
        <f t="shared" si="170"/>
        <v>0</v>
      </c>
      <c r="Q350" s="5">
        <f t="shared" si="169"/>
        <v>0</v>
      </c>
      <c r="R350" s="23">
        <f t="shared" si="167"/>
        <v>0</v>
      </c>
    </row>
    <row r="351" spans="9:18">
      <c r="I351" s="172">
        <f t="shared" si="168"/>
        <v>0</v>
      </c>
      <c r="J351" s="167">
        <f t="shared" si="166"/>
        <v>0</v>
      </c>
      <c r="K351" s="203">
        <f t="shared" si="170"/>
        <v>0</v>
      </c>
      <c r="Q351" s="5">
        <f t="shared" si="169"/>
        <v>0</v>
      </c>
      <c r="R351" s="23">
        <f t="shared" si="167"/>
        <v>0</v>
      </c>
    </row>
    <row r="352" spans="9:18">
      <c r="I352" s="172">
        <f t="shared" si="168"/>
        <v>0</v>
      </c>
      <c r="J352" s="167">
        <f t="shared" si="166"/>
        <v>0</v>
      </c>
      <c r="K352" s="203">
        <f t="shared" si="170"/>
        <v>0</v>
      </c>
      <c r="Q352" s="5">
        <f t="shared" si="169"/>
        <v>0</v>
      </c>
      <c r="R352" s="23">
        <f t="shared" si="167"/>
        <v>0</v>
      </c>
    </row>
    <row r="353" spans="9:18">
      <c r="I353" s="172">
        <f t="shared" si="168"/>
        <v>0</v>
      </c>
      <c r="J353" s="167">
        <f t="shared" si="166"/>
        <v>0</v>
      </c>
      <c r="K353" s="203">
        <f t="shared" si="170"/>
        <v>0</v>
      </c>
      <c r="Q353" s="5">
        <f t="shared" si="169"/>
        <v>0</v>
      </c>
      <c r="R353" s="23">
        <f t="shared" si="167"/>
        <v>0</v>
      </c>
    </row>
    <row r="354" spans="9:18">
      <c r="I354" s="172">
        <f t="shared" si="168"/>
        <v>0</v>
      </c>
      <c r="J354" s="167">
        <f t="shared" si="166"/>
        <v>0</v>
      </c>
      <c r="K354" s="203">
        <f t="shared" si="170"/>
        <v>0</v>
      </c>
      <c r="Q354" s="5">
        <f t="shared" si="169"/>
        <v>0</v>
      </c>
      <c r="R354" s="23">
        <f t="shared" si="167"/>
        <v>0</v>
      </c>
    </row>
    <row r="355" spans="9:18">
      <c r="I355" s="172">
        <f t="shared" si="168"/>
        <v>0</v>
      </c>
      <c r="J355" s="167">
        <f t="shared" si="166"/>
        <v>0</v>
      </c>
      <c r="K355" s="203">
        <f t="shared" si="170"/>
        <v>0</v>
      </c>
      <c r="Q355" s="5">
        <f t="shared" si="169"/>
        <v>0</v>
      </c>
      <c r="R355" s="23">
        <f t="shared" si="167"/>
        <v>0</v>
      </c>
    </row>
    <row r="356" spans="9:18">
      <c r="I356" s="172">
        <f t="shared" si="168"/>
        <v>0</v>
      </c>
      <c r="J356" s="167">
        <f t="shared" si="166"/>
        <v>0</v>
      </c>
      <c r="K356" s="203">
        <f t="shared" si="170"/>
        <v>0</v>
      </c>
      <c r="Q356" s="5">
        <f t="shared" si="169"/>
        <v>0</v>
      </c>
      <c r="R356" s="23">
        <f t="shared" si="167"/>
        <v>0</v>
      </c>
    </row>
    <row r="357" spans="9:18">
      <c r="I357" s="172">
        <f t="shared" si="168"/>
        <v>0</v>
      </c>
      <c r="J357" s="167">
        <f t="shared" ref="J357:J366" si="171">H357*1.0825</f>
        <v>0</v>
      </c>
      <c r="K357" s="203">
        <f t="shared" si="170"/>
        <v>0</v>
      </c>
      <c r="Q357" s="5">
        <f t="shared" si="169"/>
        <v>0</v>
      </c>
      <c r="R357" s="23">
        <f t="shared" si="167"/>
        <v>0</v>
      </c>
    </row>
    <row r="358" spans="9:18">
      <c r="I358" s="172">
        <f t="shared" si="168"/>
        <v>0</v>
      </c>
      <c r="J358" s="167">
        <f t="shared" si="171"/>
        <v>0</v>
      </c>
      <c r="K358" s="203">
        <f t="shared" si="170"/>
        <v>0</v>
      </c>
      <c r="Q358" s="5">
        <f t="shared" si="169"/>
        <v>0</v>
      </c>
      <c r="R358" s="23">
        <f t="shared" si="167"/>
        <v>0</v>
      </c>
    </row>
    <row r="359" spans="9:18">
      <c r="I359" s="172">
        <f t="shared" si="168"/>
        <v>0</v>
      </c>
      <c r="J359" s="167">
        <f t="shared" si="171"/>
        <v>0</v>
      </c>
      <c r="K359" s="203">
        <f t="shared" si="170"/>
        <v>0</v>
      </c>
      <c r="Q359" s="5">
        <f t="shared" si="169"/>
        <v>0</v>
      </c>
      <c r="R359" s="23">
        <f t="shared" si="167"/>
        <v>0</v>
      </c>
    </row>
    <row r="360" spans="9:18">
      <c r="I360" s="172">
        <f t="shared" si="168"/>
        <v>0</v>
      </c>
      <c r="J360" s="167">
        <f t="shared" si="171"/>
        <v>0</v>
      </c>
      <c r="K360" s="203">
        <f t="shared" si="170"/>
        <v>0</v>
      </c>
      <c r="Q360" s="5">
        <f t="shared" si="169"/>
        <v>0</v>
      </c>
      <c r="R360" s="23">
        <f t="shared" si="167"/>
        <v>0</v>
      </c>
    </row>
    <row r="361" spans="9:18">
      <c r="I361" s="172">
        <f t="shared" si="168"/>
        <v>0</v>
      </c>
      <c r="J361" s="167">
        <f t="shared" si="171"/>
        <v>0</v>
      </c>
      <c r="K361" s="203">
        <f t="shared" si="170"/>
        <v>0</v>
      </c>
      <c r="Q361" s="5">
        <f t="shared" si="169"/>
        <v>0</v>
      </c>
      <c r="R361" s="23">
        <f t="shared" si="167"/>
        <v>0</v>
      </c>
    </row>
    <row r="362" spans="9:18">
      <c r="I362" s="172">
        <f t="shared" si="168"/>
        <v>0</v>
      </c>
      <c r="J362" s="167">
        <f t="shared" si="171"/>
        <v>0</v>
      </c>
      <c r="K362" s="203">
        <f t="shared" si="170"/>
        <v>0</v>
      </c>
      <c r="Q362" s="5">
        <f t="shared" si="169"/>
        <v>0</v>
      </c>
      <c r="R362" s="23">
        <f t="shared" si="167"/>
        <v>0</v>
      </c>
    </row>
    <row r="363" spans="9:18">
      <c r="I363" s="172">
        <f t="shared" si="168"/>
        <v>0</v>
      </c>
      <c r="J363" s="167">
        <f t="shared" si="171"/>
        <v>0</v>
      </c>
      <c r="K363" s="203">
        <f t="shared" si="170"/>
        <v>0</v>
      </c>
      <c r="Q363" s="5">
        <f t="shared" si="169"/>
        <v>0</v>
      </c>
      <c r="R363" s="23">
        <f t="shared" ref="R363:R366" si="172">Q363*6.35</f>
        <v>0</v>
      </c>
    </row>
    <row r="364" spans="9:18">
      <c r="I364" s="172">
        <f t="shared" ref="I364:I366" si="173">H364*1.07</f>
        <v>0</v>
      </c>
      <c r="J364" s="167">
        <f t="shared" si="171"/>
        <v>0</v>
      </c>
      <c r="K364" s="203">
        <f t="shared" si="170"/>
        <v>0</v>
      </c>
      <c r="Q364" s="5">
        <f t="shared" ref="Q364:Q366" si="174">SUM(J364,M364,O364)</f>
        <v>0</v>
      </c>
      <c r="R364" s="23">
        <f t="shared" si="172"/>
        <v>0</v>
      </c>
    </row>
    <row r="365" spans="9:18">
      <c r="I365" s="172">
        <f t="shared" si="173"/>
        <v>0</v>
      </c>
      <c r="J365" s="167">
        <f t="shared" si="171"/>
        <v>0</v>
      </c>
      <c r="Q365" s="5">
        <f t="shared" si="174"/>
        <v>0</v>
      </c>
      <c r="R365" s="23">
        <f t="shared" si="172"/>
        <v>0</v>
      </c>
    </row>
    <row r="366" spans="9:18">
      <c r="I366" s="172">
        <f t="shared" si="173"/>
        <v>0</v>
      </c>
      <c r="J366" s="167">
        <f t="shared" si="171"/>
        <v>0</v>
      </c>
      <c r="Q366" s="5">
        <f t="shared" si="174"/>
        <v>0</v>
      </c>
      <c r="R366" s="23">
        <f t="shared" si="172"/>
        <v>0</v>
      </c>
    </row>
  </sheetData>
  <mergeCells count="179">
    <mergeCell ref="F294:F295"/>
    <mergeCell ref="V294:V295"/>
    <mergeCell ref="W294:W295"/>
    <mergeCell ref="U294:U295"/>
    <mergeCell ref="V225:V227"/>
    <mergeCell ref="W225:W227"/>
    <mergeCell ref="V222:V224"/>
    <mergeCell ref="W222:W224"/>
    <mergeCell ref="V216:V218"/>
    <mergeCell ref="W216:W218"/>
    <mergeCell ref="V219:V221"/>
    <mergeCell ref="W219:W221"/>
    <mergeCell ref="V232:V233"/>
    <mergeCell ref="W232:W233"/>
    <mergeCell ref="W256:W257"/>
    <mergeCell ref="V258:V259"/>
    <mergeCell ref="W258:W259"/>
    <mergeCell ref="W262:W263"/>
    <mergeCell ref="F239:F241"/>
    <mergeCell ref="F242:F246"/>
    <mergeCell ref="V228:V229"/>
    <mergeCell ref="W228:W229"/>
    <mergeCell ref="V242:V246"/>
    <mergeCell ref="W242:W246"/>
    <mergeCell ref="V253:V254"/>
    <mergeCell ref="W253:W254"/>
    <mergeCell ref="V230:V231"/>
    <mergeCell ref="W230:W231"/>
    <mergeCell ref="F251:F252"/>
    <mergeCell ref="V251:V252"/>
    <mergeCell ref="W251:W252"/>
    <mergeCell ref="V237:V238"/>
    <mergeCell ref="W237:W238"/>
    <mergeCell ref="V239:V241"/>
    <mergeCell ref="W239:W241"/>
    <mergeCell ref="V234:V236"/>
    <mergeCell ref="W234:W236"/>
    <mergeCell ref="U251:U252"/>
    <mergeCell ref="G253:G254"/>
    <mergeCell ref="F253:F254"/>
    <mergeCell ref="T207:T208"/>
    <mergeCell ref="W207:W208"/>
    <mergeCell ref="U205:U210"/>
    <mergeCell ref="V205:V210"/>
    <mergeCell ref="T181:T183"/>
    <mergeCell ref="W181:W183"/>
    <mergeCell ref="S200:S202"/>
    <mergeCell ref="T200:T202"/>
    <mergeCell ref="W200:W202"/>
    <mergeCell ref="S159:S160"/>
    <mergeCell ref="T159:T160"/>
    <mergeCell ref="S156:S158"/>
    <mergeCell ref="T156:T158"/>
    <mergeCell ref="V166:V169"/>
    <mergeCell ref="V162:V164"/>
    <mergeCell ref="W156:W158"/>
    <mergeCell ref="W159:W160"/>
    <mergeCell ref="U200:U203"/>
    <mergeCell ref="V180:V184"/>
    <mergeCell ref="V177:V178"/>
    <mergeCell ref="W177:W178"/>
    <mergeCell ref="W162:W164"/>
    <mergeCell ref="V190:V194"/>
    <mergeCell ref="W190:W194"/>
    <mergeCell ref="V171:V172"/>
    <mergeCell ref="V174:V175"/>
    <mergeCell ref="V200:V203"/>
    <mergeCell ref="T151:T152"/>
    <mergeCell ref="V151:V152"/>
    <mergeCell ref="W151:W152"/>
    <mergeCell ref="W148:W149"/>
    <mergeCell ref="T142:T143"/>
    <mergeCell ref="W142:W143"/>
    <mergeCell ref="V141:V143"/>
    <mergeCell ref="V148:V149"/>
    <mergeCell ref="T138:T139"/>
    <mergeCell ref="U138:U139"/>
    <mergeCell ref="W138:W139"/>
    <mergeCell ref="W112:W116"/>
    <mergeCell ref="V104:V105"/>
    <mergeCell ref="V91:V92"/>
    <mergeCell ref="W91:W92"/>
    <mergeCell ref="V107:V110"/>
    <mergeCell ref="D138:D139"/>
    <mergeCell ref="V136:V139"/>
    <mergeCell ref="F96:F97"/>
    <mergeCell ref="S101:S102"/>
    <mergeCell ref="T101:T102"/>
    <mergeCell ref="W101:W102"/>
    <mergeCell ref="V101:V102"/>
    <mergeCell ref="F101:F102"/>
    <mergeCell ref="M112:M116"/>
    <mergeCell ref="T112:T116"/>
    <mergeCell ref="V70:V72"/>
    <mergeCell ref="T74:T77"/>
    <mergeCell ref="S74:S77"/>
    <mergeCell ref="F50:F51"/>
    <mergeCell ref="F57:F59"/>
    <mergeCell ref="V57:V59"/>
    <mergeCell ref="W74:W77"/>
    <mergeCell ref="V83:V89"/>
    <mergeCell ref="W83:W89"/>
    <mergeCell ref="T87:T89"/>
    <mergeCell ref="G57:G59"/>
    <mergeCell ref="V53:V55"/>
    <mergeCell ref="W53:W55"/>
    <mergeCell ref="G50:G51"/>
    <mergeCell ref="U50:U51"/>
    <mergeCell ref="V50:V51"/>
    <mergeCell ref="W50:W51"/>
    <mergeCell ref="F61:F62"/>
    <mergeCell ref="V61:V62"/>
    <mergeCell ref="F40:F42"/>
    <mergeCell ref="F44:F48"/>
    <mergeCell ref="F28:F29"/>
    <mergeCell ref="F33:F38"/>
    <mergeCell ref="W33:W38"/>
    <mergeCell ref="V28:V29"/>
    <mergeCell ref="V40:V42"/>
    <mergeCell ref="F20:F24"/>
    <mergeCell ref="V20:V24"/>
    <mergeCell ref="W20:W24"/>
    <mergeCell ref="G26:G27"/>
    <mergeCell ref="V26:V27"/>
    <mergeCell ref="F26:F27"/>
    <mergeCell ref="W26:W31"/>
    <mergeCell ref="N4:N9"/>
    <mergeCell ref="T11:T12"/>
    <mergeCell ref="V11:V12"/>
    <mergeCell ref="V4:V9"/>
    <mergeCell ref="U11:U12"/>
    <mergeCell ref="U171:U175"/>
    <mergeCell ref="W4:W9"/>
    <mergeCell ref="W11:W12"/>
    <mergeCell ref="S33:S35"/>
    <mergeCell ref="T33:T36"/>
    <mergeCell ref="T37:T38"/>
    <mergeCell ref="V33:V38"/>
    <mergeCell ref="V44:V48"/>
    <mergeCell ref="W40:W42"/>
    <mergeCell ref="W70:W72"/>
    <mergeCell ref="T83:T85"/>
    <mergeCell ref="U74:U77"/>
    <mergeCell ref="W61:W62"/>
    <mergeCell ref="S123:S124"/>
    <mergeCell ref="W123:W124"/>
    <mergeCell ref="V119:V120"/>
    <mergeCell ref="W57:W59"/>
    <mergeCell ref="T53:T54"/>
    <mergeCell ref="V74:V77"/>
    <mergeCell ref="F216:F218"/>
    <mergeCell ref="F219:F221"/>
    <mergeCell ref="F222:F224"/>
    <mergeCell ref="F225:F227"/>
    <mergeCell ref="F228:F229"/>
    <mergeCell ref="F230:F231"/>
    <mergeCell ref="F232:F233"/>
    <mergeCell ref="F234:F236"/>
    <mergeCell ref="F237:F238"/>
    <mergeCell ref="W265:W288"/>
    <mergeCell ref="V265:V288"/>
    <mergeCell ref="T277:T279"/>
    <mergeCell ref="S277:S279"/>
    <mergeCell ref="T287:T288"/>
    <mergeCell ref="T282:T283"/>
    <mergeCell ref="T280:T281"/>
    <mergeCell ref="F256:F257"/>
    <mergeCell ref="F258:F259"/>
    <mergeCell ref="U256:U257"/>
    <mergeCell ref="U258:U259"/>
    <mergeCell ref="V262:V263"/>
    <mergeCell ref="S265:S268"/>
    <mergeCell ref="T265:T268"/>
    <mergeCell ref="S270:S275"/>
    <mergeCell ref="T270:T275"/>
    <mergeCell ref="G256:G257"/>
    <mergeCell ref="G258:G259"/>
    <mergeCell ref="G262:G263"/>
    <mergeCell ref="V256:V257"/>
  </mergeCells>
  <phoneticPr fontId="1" type="noConversion"/>
  <hyperlinks>
    <hyperlink ref="E11" r:id="rId1" display="https://e.coach.com/pub/cc?_ri_=X0Gzc2X%3DWQpglLjHJlTQGubWy16BgWYUzes4NAYzazcNGNzb9tzdoq8nVXtpKX%3DTTUCYT&amp;_ei_=EolaGGF4SNMvxFF7KucKuWOIF5v3YqDs2oD2Zm1_PPV907BD3hGax9575uO1GrHWGQdcDE7tkxLT4uzto7AGcb15Fw9L5z76MpGvvSw_vwnakOtLRNaUjdbLImRktTXSSbVY0NYUInMWO1euB2tR4sMW9tMCx8vNSNvatYrMxIAMkFX--6w78ZfZ2Wras8jHUnUBY3WKjjn9N_TXjt30qTgHJIaFkDUvFYkTGyIblKCcDKod4fAqmZQfeGYQSwRVFPxn7lKpGZ3KHuRi8bUwmRJgh02yRgG2owCiVPzZkggC1u6INlhTy4UXkSlj0Fb1mM2n71aNcC4zwYWRTFJ09M2RTxmyeTif6-5ow0yejIOn8OXAJtq00z7_R-ReXjw."/>
    <hyperlink ref="E4" r:id="rId2" display="https://e.coach.com/pub/cc?_ri_=X0Gzc2X%3DWQpglLjHJlTQGubWy16BgWYUzes4NAYzazcNGNzb9tzdoq8nVXtpKX%3DTTUCYT&amp;_ei_=EolaGGF4SNMvxFF7KucKuWOIF5v3YqDs2oD2Zm1_PPV907BD3hGax9575uO1GrHWGRgJG6EivCTse4ixApcs_g0XIj4_2in42BRBEQCVI86_UkEokWLre102fvQZCwGsRWg8hRc0MX1juQvpLnMlT-tUok_1ik5mtJZK6momHOE1A2VcQ1_5IzOZP2ZvRyx-0FHpp3WUCSzexTSQ0AzECrbq4WS6Q0hvg8lj_g8WM_qS0eWPYp129TC-iGEHi0TogyygOGpwddU0rbJLVXBxC7aqsJ8BS0WmG9TuV7ekjN5H_qiAPX4LLUW_jcnXqy4TYQaqn8gpkNKFIaBU_k9bpi5Jk-MuPynTc5B76mSAUZbNrbO3NUy9-YMYuc3aAaE."/>
    <hyperlink ref="D174" r:id="rId3" display="https://www.drugstore.com/user/modify_order.asp?order_id=03364785515500&amp;trx=28741&amp;trxp1=0"/>
    <hyperlink ref="D265" r:id="rId4" display="https://www.drugstore.com/user/modify_order.asp?order_id=03371082509500&amp;trx=28741&amp;trxp1=0"/>
    <hyperlink ref="D269" r:id="rId5" display="https://www.drugstore.com/user/modify_order.asp?order_id=03371082569500&amp;trx=28741&amp;trxp1=0"/>
    <hyperlink ref="D270" r:id="rId6" display="https://www.drugstore.com/user/modify_order.asp?order_id=03371083645500&amp;trx=28741&amp;trxp1=0"/>
    <hyperlink ref="D266" r:id="rId7" display="https://www.drugstore.com/user/modify_order.asp?order_id=03371082509500&amp;trx=28741&amp;trxp1=0"/>
    <hyperlink ref="D267" r:id="rId8" display="https://www.drugstore.com/user/modify_order.asp?order_id=03371082509500&amp;trx=28741&amp;trxp1=0"/>
    <hyperlink ref="D268" r:id="rId9" display="https://www.drugstore.com/user/modify_order.asp?order_id=03371082509500&amp;trx=28741&amp;trxp1=0"/>
    <hyperlink ref="D271" r:id="rId10" display="https://www.drugstore.com/user/modify_order.asp?order_id=03371083645500&amp;trx=28741&amp;trxp1=0"/>
    <hyperlink ref="D272" r:id="rId11" display="https://www.drugstore.com/user/modify_order.asp?order_id=03371083645500&amp;trx=28741&amp;trxp1=0"/>
    <hyperlink ref="D273" r:id="rId12" display="https://www.drugstore.com/user/modify_order.asp?order_id=03371083645500&amp;trx=28741&amp;trxp1=0"/>
    <hyperlink ref="D276" r:id="rId13" display="https://www.drugstore.com/user/modify_order.asp?order_id=03371083701500&amp;trx=28741&amp;trxp1=0"/>
    <hyperlink ref="D274" r:id="rId14" display="https://www.drugstore.com/user/modify_order.asp?order_id=03371083645500&amp;trx=28741&amp;trxp1=0"/>
    <hyperlink ref="D275" r:id="rId15" display="https://www.drugstore.com/user/modify_order.asp?order_id=03371083645500&amp;trx=28741&amp;trxp1=0"/>
  </hyperlinks>
  <pageMargins left="0.7" right="0.7" top="0.75" bottom="0.75" header="0.3" footer="0.3"/>
  <pageSetup paperSize="9" orientation="portrait" horizontalDpi="200" verticalDpi="200" r:id="rId16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9"/>
  <sheetViews>
    <sheetView topLeftCell="A31" workbookViewId="0">
      <selection activeCell="I13" sqref="I13"/>
    </sheetView>
  </sheetViews>
  <sheetFormatPr defaultRowHeight="14.1"/>
  <sheetData>
    <row r="1" spans="1:14">
      <c r="A1" t="s">
        <v>170</v>
      </c>
    </row>
    <row r="2" spans="1:14">
      <c r="A2" s="31" t="s">
        <v>198</v>
      </c>
    </row>
    <row r="3" spans="1:14">
      <c r="A3" t="s">
        <v>102</v>
      </c>
      <c r="C3" t="s">
        <v>182</v>
      </c>
    </row>
    <row r="4" spans="1:14">
      <c r="A4" t="s">
        <v>100</v>
      </c>
    </row>
    <row r="9" spans="1:14">
      <c r="N9" s="80"/>
    </row>
  </sheetData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"/>
  <sheetViews>
    <sheetView topLeftCell="A49" workbookViewId="0">
      <selection activeCell="N9" sqref="A1:XFD1048576"/>
    </sheetView>
  </sheetViews>
  <sheetFormatPr defaultRowHeight="14.1"/>
  <cols>
    <col min="1" max="1" width="11.1015625" customWidth="1"/>
  </cols>
  <sheetData>
    <row r="1" spans="1:2">
      <c r="A1" t="s">
        <v>184</v>
      </c>
    </row>
    <row r="2" spans="1:2">
      <c r="A2" s="31" t="s">
        <v>183</v>
      </c>
      <c r="B2" t="s">
        <v>200</v>
      </c>
    </row>
    <row r="3" spans="1:2">
      <c r="A3" t="s">
        <v>194</v>
      </c>
    </row>
    <row r="4" spans="1:2">
      <c r="A4" t="s">
        <v>100</v>
      </c>
      <c r="B4" t="s">
        <v>195</v>
      </c>
    </row>
    <row r="6" spans="1:2">
      <c r="A6" s="76" t="s">
        <v>171</v>
      </c>
    </row>
    <row r="37" spans="1:1">
      <c r="A37" t="s">
        <v>172</v>
      </c>
    </row>
    <row r="53" spans="11:11">
      <c r="K53" s="79" t="s">
        <v>186</v>
      </c>
    </row>
  </sheetData>
  <phoneticPr fontId="1" type="noConversion"/>
  <hyperlinks>
    <hyperlink ref="K53" r:id="rId1" display="https://www.drugstore.com/user/modify_order.asp?order_id=03357191803100&amp;trx=28741&amp;trxp1=0"/>
  </hyperlinks>
  <pageMargins left="0.7" right="0.7" top="0.75" bottom="0.75" header="0.3" footer="0.3"/>
  <pageSetup paperSize="9" orientation="portrait" r:id="rId2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38"/>
  <sheetViews>
    <sheetView topLeftCell="A19" workbookViewId="0">
      <selection activeCell="N14" sqref="N14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196</v>
      </c>
    </row>
    <row r="2" spans="1:2">
      <c r="A2" t="s">
        <v>98</v>
      </c>
      <c r="B2" t="s">
        <v>60</v>
      </c>
    </row>
    <row r="3" spans="1:2">
      <c r="A3" t="s">
        <v>102</v>
      </c>
      <c r="B3" s="55" t="s">
        <v>210</v>
      </c>
    </row>
    <row r="4" spans="1:2">
      <c r="A4" t="s">
        <v>100</v>
      </c>
      <c r="B4" t="s">
        <v>121</v>
      </c>
    </row>
    <row r="38" spans="1:1">
      <c r="A38" t="s">
        <v>201</v>
      </c>
    </row>
  </sheetData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6"/>
  <sheetViews>
    <sheetView workbookViewId="0">
      <selection activeCell="D4" sqref="D4"/>
    </sheetView>
  </sheetViews>
  <sheetFormatPr defaultRowHeight="14.1"/>
  <cols>
    <col min="1" max="1" width="20.89453125" bestFit="1" customWidth="1"/>
  </cols>
  <sheetData>
    <row r="1" spans="1:2">
      <c r="A1" t="s">
        <v>99</v>
      </c>
      <c r="B1" t="s">
        <v>226</v>
      </c>
    </row>
    <row r="2" spans="1:2">
      <c r="A2" s="31" t="s">
        <v>183</v>
      </c>
      <c r="B2" t="s">
        <v>209</v>
      </c>
    </row>
    <row r="3" spans="1:2">
      <c r="A3" t="s">
        <v>102</v>
      </c>
      <c r="B3" t="s">
        <v>225</v>
      </c>
    </row>
    <row r="4" spans="1:2">
      <c r="A4" t="s">
        <v>100</v>
      </c>
      <c r="B4" s="84" t="s">
        <v>227</v>
      </c>
    </row>
    <row r="6" spans="1:2">
      <c r="A6" s="83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J13" sqref="J13"/>
    </sheetView>
  </sheetViews>
  <sheetFormatPr defaultRowHeight="14.1"/>
  <cols>
    <col min="1" max="1" width="10.5234375" customWidth="1"/>
  </cols>
  <sheetData>
    <row r="1" spans="1:2">
      <c r="A1" t="s">
        <v>99</v>
      </c>
      <c r="B1" t="s">
        <v>221</v>
      </c>
    </row>
    <row r="2" spans="1:2">
      <c r="A2" s="31" t="s">
        <v>183</v>
      </c>
      <c r="B2" s="31" t="s">
        <v>228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workbookViewId="0">
      <selection sqref="A1:C4"/>
    </sheetView>
  </sheetViews>
  <sheetFormatPr defaultRowHeight="14.1"/>
  <cols>
    <col min="1" max="1" width="19.3125" bestFit="1" customWidth="1"/>
    <col min="2" max="2" width="12.7890625" bestFit="1" customWidth="1"/>
  </cols>
  <sheetData>
    <row r="1" spans="1:2">
      <c r="A1" t="s">
        <v>99</v>
      </c>
      <c r="B1" t="s">
        <v>230</v>
      </c>
    </row>
    <row r="2" spans="1:2">
      <c r="A2" s="31" t="s">
        <v>183</v>
      </c>
      <c r="B2" s="31" t="s">
        <v>229</v>
      </c>
    </row>
    <row r="3" spans="1:2">
      <c r="A3" t="s">
        <v>250</v>
      </c>
    </row>
    <row r="4" spans="1:2">
      <c r="A4" t="s">
        <v>100</v>
      </c>
    </row>
    <row r="5" spans="1:2">
      <c r="B5" s="31"/>
    </row>
  </sheetData>
  <phoneticPr fontId="1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8"/>
  <sheetViews>
    <sheetView topLeftCell="A7" workbookViewId="0">
      <selection sqref="A1:XFD4"/>
    </sheetView>
  </sheetViews>
  <sheetFormatPr defaultRowHeight="14.1"/>
  <cols>
    <col min="1" max="1" width="19.3125" bestFit="1" customWidth="1"/>
    <col min="2" max="2" width="26" bestFit="1" customWidth="1"/>
  </cols>
  <sheetData>
    <row r="1" spans="1:2">
      <c r="A1" t="s">
        <v>99</v>
      </c>
      <c r="B1" t="s">
        <v>249</v>
      </c>
    </row>
    <row r="2" spans="1:2">
      <c r="A2" s="31" t="s">
        <v>183</v>
      </c>
      <c r="B2" t="s">
        <v>258</v>
      </c>
    </row>
    <row r="3" spans="1:2">
      <c r="A3" t="s">
        <v>102</v>
      </c>
      <c r="B3" t="s">
        <v>251</v>
      </c>
    </row>
    <row r="4" spans="1:2">
      <c r="A4" t="s">
        <v>100</v>
      </c>
      <c r="B4" t="s">
        <v>247</v>
      </c>
    </row>
    <row r="5" spans="1:2">
      <c r="A5" s="85">
        <v>129992297</v>
      </c>
    </row>
    <row r="27" spans="2:2">
      <c r="B27" s="88" t="s">
        <v>243</v>
      </c>
    </row>
    <row r="28" spans="2:2">
      <c r="B28" s="89">
        <v>565253573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98"/>
  <sheetViews>
    <sheetView topLeftCell="A142" workbookViewId="0">
      <selection activeCell="S11" sqref="S11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259</v>
      </c>
    </row>
    <row r="2" spans="1:2">
      <c r="A2" s="31" t="s">
        <v>183</v>
      </c>
      <c r="B2" t="s">
        <v>246</v>
      </c>
    </row>
    <row r="3" spans="1:2">
      <c r="A3" t="s">
        <v>102</v>
      </c>
      <c r="B3" t="s">
        <v>261</v>
      </c>
    </row>
    <row r="4" spans="1:2">
      <c r="A4" t="s">
        <v>100</v>
      </c>
      <c r="B4" t="s">
        <v>260</v>
      </c>
    </row>
    <row r="56" spans="9:9" ht="17.399999999999999">
      <c r="I56" s="87" t="s">
        <v>237</v>
      </c>
    </row>
    <row r="82" spans="1:1">
      <c r="A82" s="90">
        <v>3608522855</v>
      </c>
    </row>
    <row r="98" spans="1:1" ht="17.399999999999999">
      <c r="A98" s="86" t="s">
        <v>256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6"/>
  <sheetViews>
    <sheetView workbookViewId="0">
      <selection activeCell="B2" sqref="B2"/>
    </sheetView>
  </sheetViews>
  <sheetFormatPr defaultRowHeight="14.1"/>
  <cols>
    <col min="1" max="1" width="19.3125" bestFit="1" customWidth="1"/>
    <col min="9" max="9" width="6.5234375" bestFit="1" customWidth="1"/>
    <col min="10" max="10" width="11.20703125" bestFit="1" customWidth="1"/>
  </cols>
  <sheetData>
    <row r="1" spans="1:11">
      <c r="A1" t="s">
        <v>99</v>
      </c>
      <c r="B1" t="s">
        <v>275</v>
      </c>
      <c r="K1" s="4"/>
    </row>
    <row r="2" spans="1:11">
      <c r="A2" s="31" t="s">
        <v>183</v>
      </c>
      <c r="B2" t="s">
        <v>209</v>
      </c>
      <c r="K2" s="4"/>
    </row>
    <row r="3" spans="1:11">
      <c r="A3" t="s">
        <v>102</v>
      </c>
      <c r="B3" t="s">
        <v>276</v>
      </c>
      <c r="K3" s="4"/>
    </row>
    <row r="4" spans="1:11">
      <c r="A4" t="s">
        <v>100</v>
      </c>
      <c r="B4" s="84" t="s">
        <v>277</v>
      </c>
      <c r="K4" s="4"/>
    </row>
    <row r="5" spans="1:11">
      <c r="K5" s="4"/>
    </row>
    <row r="6" spans="1:11">
      <c r="J6" s="90" t="s">
        <v>262</v>
      </c>
      <c r="K6" s="4"/>
    </row>
    <row r="12" spans="1:11">
      <c r="G12">
        <v>4</v>
      </c>
    </row>
    <row r="23" spans="7:7">
      <c r="G23">
        <v>4</v>
      </c>
    </row>
    <row r="33" spans="7:9">
      <c r="G33">
        <v>4</v>
      </c>
    </row>
    <row r="40" spans="7:9">
      <c r="I40" s="90" t="s">
        <v>263</v>
      </c>
    </row>
    <row r="45" spans="7:9">
      <c r="G45">
        <v>4</v>
      </c>
    </row>
    <row r="56" spans="7:7">
      <c r="G56">
        <v>2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9"/>
  <sheetViews>
    <sheetView workbookViewId="0">
      <selection activeCell="G39" sqref="G39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295</v>
      </c>
    </row>
    <row r="2" spans="1:2">
      <c r="A2" s="31" t="s">
        <v>183</v>
      </c>
      <c r="B2" s="31" t="s">
        <v>294</v>
      </c>
    </row>
    <row r="3" spans="1:2">
      <c r="A3" t="s">
        <v>102</v>
      </c>
    </row>
    <row r="4" spans="1:2">
      <c r="A4" t="s">
        <v>100</v>
      </c>
      <c r="B4" t="s">
        <v>298</v>
      </c>
    </row>
    <row r="49" spans="1:1">
      <c r="A49" s="103">
        <v>2059638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7" sqref="B7"/>
    </sheetView>
  </sheetViews>
  <sheetFormatPr defaultRowHeight="14.1"/>
  <cols>
    <col min="1" max="1" width="19.3125" bestFit="1" customWidth="1"/>
    <col min="2" max="2" width="81.89453125" bestFit="1" customWidth="1"/>
  </cols>
  <sheetData>
    <row r="1" spans="1:2">
      <c r="A1" s="56" t="s">
        <v>99</v>
      </c>
      <c r="B1" t="s">
        <v>105</v>
      </c>
    </row>
    <row r="2" spans="1:2">
      <c r="A2" s="56" t="s">
        <v>98</v>
      </c>
      <c r="B2" t="s">
        <v>60</v>
      </c>
    </row>
    <row r="3" spans="1:2">
      <c r="A3" s="56" t="s">
        <v>102</v>
      </c>
      <c r="B3" s="55" t="s">
        <v>103</v>
      </c>
    </row>
    <row r="4" spans="1:2">
      <c r="A4" s="56" t="s">
        <v>100</v>
      </c>
      <c r="B4" t="s">
        <v>101</v>
      </c>
    </row>
  </sheetData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84"/>
  <sheetViews>
    <sheetView topLeftCell="A67" zoomScaleNormal="100" workbookViewId="0">
      <selection activeCell="N14" sqref="N14"/>
    </sheetView>
  </sheetViews>
  <sheetFormatPr defaultRowHeight="14.1"/>
  <cols>
    <col min="1" max="1" width="18" customWidth="1"/>
  </cols>
  <sheetData>
    <row r="1" spans="1:2">
      <c r="A1" t="s">
        <v>99</v>
      </c>
      <c r="B1" t="s">
        <v>300</v>
      </c>
    </row>
    <row r="2" spans="1:2">
      <c r="A2" t="s">
        <v>98</v>
      </c>
      <c r="B2" s="105" t="s">
        <v>301</v>
      </c>
    </row>
    <row r="3" spans="1:2">
      <c r="A3" t="s">
        <v>102</v>
      </c>
    </row>
    <row r="4" spans="1:2">
      <c r="A4" t="s">
        <v>100</v>
      </c>
      <c r="B4" t="s">
        <v>302</v>
      </c>
    </row>
    <row r="23" spans="1:15">
      <c r="O23" t="s">
        <v>282</v>
      </c>
    </row>
    <row r="29" spans="1:15">
      <c r="A29" t="s">
        <v>292</v>
      </c>
    </row>
    <row r="82" spans="14:14">
      <c r="N82" t="s">
        <v>283</v>
      </c>
    </row>
    <row r="222" spans="14:14" ht="17.7">
      <c r="N222" s="102" t="s">
        <v>289</v>
      </c>
    </row>
    <row r="384" spans="14:14" ht="17.399999999999999">
      <c r="N384" s="87" t="s">
        <v>291</v>
      </c>
    </row>
  </sheetData>
  <phoneticPr fontId="1" type="noConversion"/>
  <hyperlinks>
    <hyperlink ref="A29" r:id="rId1" display="https://www.drugstore.com/user/modify_order.asp?order_id=03359615280100&amp;trx=28741&amp;trxp1=0"/>
  </hyperlinks>
  <pageMargins left="0.7" right="0.7" top="0.75" bottom="0.75" header="0.3" footer="0.3"/>
  <pageSetup paperSize="9" orientation="portrait" r:id="rId2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31" workbookViewId="0">
      <selection activeCell="H34" sqref="H34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304</v>
      </c>
    </row>
    <row r="2" spans="1:2">
      <c r="A2" t="s">
        <v>98</v>
      </c>
      <c r="B2" s="31" t="s">
        <v>303</v>
      </c>
    </row>
    <row r="3" spans="1:2">
      <c r="A3" t="s">
        <v>102</v>
      </c>
      <c r="B3" t="s">
        <v>310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7" workbookViewId="0">
      <selection activeCell="L15" sqref="L15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322</v>
      </c>
    </row>
    <row r="2" spans="1:2">
      <c r="A2" s="31" t="s">
        <v>183</v>
      </c>
      <c r="B2" t="s">
        <v>59</v>
      </c>
    </row>
    <row r="3" spans="1:2">
      <c r="A3" t="s">
        <v>102</v>
      </c>
      <c r="B3" t="s">
        <v>323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16" workbookViewId="0">
      <selection activeCell="B2" sqref="B2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316</v>
      </c>
    </row>
    <row r="2" spans="1:2">
      <c r="A2" t="s">
        <v>98</v>
      </c>
      <c r="B2" s="31" t="s">
        <v>371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L23" sqref="L2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332</v>
      </c>
    </row>
    <row r="2" spans="1:2">
      <c r="A2" t="s">
        <v>98</v>
      </c>
      <c r="B2" t="s">
        <v>329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3" sqref="B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345</v>
      </c>
    </row>
    <row r="2" spans="1:2">
      <c r="A2" t="s">
        <v>98</v>
      </c>
      <c r="B2" t="s">
        <v>335</v>
      </c>
    </row>
    <row r="3" spans="1:2">
      <c r="A3" t="s">
        <v>102</v>
      </c>
      <c r="B3" t="s">
        <v>525</v>
      </c>
    </row>
    <row r="4" spans="1:2">
      <c r="A4" t="s">
        <v>100</v>
      </c>
      <c r="B4" t="s">
        <v>347</v>
      </c>
    </row>
  </sheetData>
  <phoneticPr fontId="1" type="noConversion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3" sqref="B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359</v>
      </c>
    </row>
    <row r="2" spans="1:2">
      <c r="A2" t="s">
        <v>98</v>
      </c>
      <c r="B2" t="s">
        <v>209</v>
      </c>
    </row>
    <row r="3" spans="1:2">
      <c r="A3" t="s">
        <v>102</v>
      </c>
      <c r="B3" t="s">
        <v>524</v>
      </c>
    </row>
    <row r="4" spans="1:2">
      <c r="A4" t="s">
        <v>100</v>
      </c>
      <c r="B4" t="s">
        <v>346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sqref="A1:A4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353</v>
      </c>
    </row>
    <row r="2" spans="1:2">
      <c r="A2" t="s">
        <v>98</v>
      </c>
      <c r="B2" t="s">
        <v>354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I23" sqref="I23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370</v>
      </c>
    </row>
    <row r="2" spans="1:2">
      <c r="A2" t="s">
        <v>98</v>
      </c>
      <c r="B2" t="s">
        <v>410</v>
      </c>
    </row>
    <row r="3" spans="1:2">
      <c r="A3" t="s">
        <v>102</v>
      </c>
    </row>
    <row r="4" spans="1:2">
      <c r="A4" t="s">
        <v>100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55" sqref="M55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9" sqref="B9"/>
    </sheetView>
  </sheetViews>
  <sheetFormatPr defaultRowHeight="14.1"/>
  <cols>
    <col min="1" max="1" width="19.3125" bestFit="1" customWidth="1"/>
    <col min="2" max="2" width="114.89453125" bestFit="1" customWidth="1"/>
  </cols>
  <sheetData>
    <row r="1" spans="1:2">
      <c r="A1" t="s">
        <v>99</v>
      </c>
      <c r="B1" t="s">
        <v>106</v>
      </c>
    </row>
    <row r="2" spans="1:2">
      <c r="A2" t="s">
        <v>98</v>
      </c>
      <c r="B2" s="31" t="s">
        <v>107</v>
      </c>
    </row>
    <row r="3" spans="1:2">
      <c r="A3" t="s">
        <v>102</v>
      </c>
      <c r="B3" s="55" t="s">
        <v>109</v>
      </c>
    </row>
    <row r="4" spans="1:2">
      <c r="A4" t="s">
        <v>100</v>
      </c>
      <c r="B4" t="s">
        <v>108</v>
      </c>
    </row>
  </sheetData>
  <phoneticPr fontId="1" type="noConversion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11" sqref="K11"/>
    </sheetView>
  </sheetViews>
  <sheetFormatPr defaultRowHeight="14.1"/>
  <sheetData>
    <row r="1" spans="1:1">
      <c r="A1" t="s">
        <v>383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M134" sqref="M134"/>
    </sheetView>
  </sheetViews>
  <sheetFormatPr defaultRowHeight="14.1"/>
  <sheetData>
    <row r="1" spans="1:1">
      <c r="A1" t="s">
        <v>416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73" workbookViewId="0">
      <selection activeCell="K84" sqref="K84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L22" sqref="L22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I13" sqref="I13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" workbookViewId="0">
      <selection activeCell="I77" sqref="I77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8" workbookViewId="0">
      <selection activeCell="I77" sqref="I77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6" workbookViewId="0">
      <selection activeCell="G59" sqref="G59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K69" sqref="K69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I41" sqref="I41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13" sqref="B13"/>
    </sheetView>
  </sheetViews>
  <sheetFormatPr defaultRowHeight="14.1"/>
  <cols>
    <col min="1" max="1" width="19.3125" bestFit="1" customWidth="1"/>
    <col min="2" max="2" width="105" bestFit="1" customWidth="1"/>
  </cols>
  <sheetData>
    <row r="1" spans="1:2">
      <c r="A1" t="s">
        <v>99</v>
      </c>
      <c r="B1" t="s">
        <v>118</v>
      </c>
    </row>
    <row r="2" spans="1:2">
      <c r="A2" t="s">
        <v>98</v>
      </c>
      <c r="B2" t="s">
        <v>117</v>
      </c>
    </row>
    <row r="3" spans="1:2" ht="28.2">
      <c r="A3" t="s">
        <v>102</v>
      </c>
      <c r="B3" s="62" t="s">
        <v>119</v>
      </c>
    </row>
    <row r="4" spans="1:2">
      <c r="A4" t="s">
        <v>100</v>
      </c>
      <c r="B4" t="s">
        <v>108</v>
      </c>
    </row>
  </sheetData>
  <phoneticPr fontId="1" type="noConversion"/>
  <pageMargins left="0.7" right="0.7" top="0.75" bottom="0.75" header="0.3" footer="0.3"/>
  <pageSetup paperSize="9" orientation="portrait" horizontalDpi="200" verticalDpi="200" r:id="rId1"/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H16:K48"/>
  <sheetViews>
    <sheetView workbookViewId="0">
      <selection activeCell="I29" sqref="I29"/>
    </sheetView>
  </sheetViews>
  <sheetFormatPr defaultRowHeight="14.1"/>
  <sheetData>
    <row r="16" spans="9:9">
      <c r="I16">
        <f>29.99/2+29.99</f>
        <v>44.984999999999999</v>
      </c>
    </row>
    <row r="19" spans="8:9">
      <c r="H19" t="s">
        <v>201</v>
      </c>
    </row>
    <row r="29" spans="8:9">
      <c r="I29">
        <f>14.99*2</f>
        <v>29.98</v>
      </c>
    </row>
    <row r="34" spans="8:11">
      <c r="H34" t="s">
        <v>201</v>
      </c>
    </row>
    <row r="42" spans="8:11">
      <c r="I42">
        <f>9.99*4</f>
        <v>39.96</v>
      </c>
    </row>
    <row r="44" spans="8:11">
      <c r="J44" t="s">
        <v>485</v>
      </c>
      <c r="K44">
        <f>114.925</f>
        <v>114.925</v>
      </c>
    </row>
    <row r="48" spans="8:11">
      <c r="H48" t="s">
        <v>483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3"/>
  <sheetViews>
    <sheetView topLeftCell="A22" workbookViewId="0">
      <selection activeCell="N25" sqref="N25"/>
    </sheetView>
  </sheetViews>
  <sheetFormatPr defaultRowHeight="14.1"/>
  <sheetData>
    <row r="13" spans="4:4">
      <c r="D13" t="s">
        <v>496</v>
      </c>
    </row>
  </sheetData>
  <phoneticPr fontId="1" type="noConversion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" workbookViewId="0">
      <selection activeCell="H11" sqref="H11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2"/>
  <sheetViews>
    <sheetView topLeftCell="A31" workbookViewId="0">
      <selection activeCell="I45" sqref="I45"/>
    </sheetView>
  </sheetViews>
  <sheetFormatPr defaultRowHeight="14.1"/>
  <sheetData>
    <row r="32" spans="1:1">
      <c r="A32" s="184"/>
    </row>
  </sheetData>
  <phoneticPr fontId="1" type="noConversion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6" workbookViewId="0">
      <selection activeCell="K44" sqref="K44"/>
    </sheetView>
  </sheetViews>
  <sheetFormatPr defaultRowHeight="14.1"/>
  <sheetData/>
  <phoneticPr fontId="1" type="noConversion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91" workbookViewId="0">
      <selection activeCell="L102" sqref="L102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D240" workbookViewId="0">
      <selection activeCell="P243" sqref="P243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" workbookViewId="0">
      <selection activeCell="K40" sqref="K39:K40"/>
    </sheetView>
  </sheetViews>
  <sheetFormatPr defaultRowHeight="14.1"/>
  <sheetData/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11" sqref="B11"/>
    </sheetView>
  </sheetViews>
  <sheetFormatPr defaultRowHeight="14.1"/>
  <cols>
    <col min="1" max="1" width="19.3125" bestFit="1" customWidth="1"/>
    <col min="2" max="2" width="81.89453125" bestFit="1" customWidth="1"/>
  </cols>
  <sheetData>
    <row r="1" spans="1:2">
      <c r="A1" t="s">
        <v>99</v>
      </c>
      <c r="B1" t="s">
        <v>122</v>
      </c>
    </row>
    <row r="2" spans="1:2">
      <c r="A2" t="s">
        <v>98</v>
      </c>
      <c r="B2" t="s">
        <v>60</v>
      </c>
    </row>
    <row r="3" spans="1:2">
      <c r="A3" t="s">
        <v>102</v>
      </c>
      <c r="B3" s="55" t="s">
        <v>120</v>
      </c>
    </row>
    <row r="4" spans="1:2">
      <c r="A4" t="s">
        <v>100</v>
      </c>
      <c r="B4" t="s">
        <v>121</v>
      </c>
    </row>
  </sheetData>
  <phoneticPr fontId="1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workbookViewId="0">
      <selection activeCell="B3" sqref="B3"/>
    </sheetView>
  </sheetViews>
  <sheetFormatPr defaultRowHeight="14.1"/>
  <cols>
    <col min="1" max="1" width="19.3125" bestFit="1" customWidth="1"/>
    <col min="2" max="2" width="88.5234375" bestFit="1" customWidth="1"/>
  </cols>
  <sheetData>
    <row r="1" spans="1:2">
      <c r="A1" t="s">
        <v>99</v>
      </c>
      <c r="B1" t="s">
        <v>127</v>
      </c>
    </row>
    <row r="2" spans="1:2">
      <c r="A2" t="s">
        <v>98</v>
      </c>
      <c r="B2" t="s">
        <v>135</v>
      </c>
    </row>
    <row r="3" spans="1:2">
      <c r="A3" t="s">
        <v>102</v>
      </c>
      <c r="B3" t="s">
        <v>526</v>
      </c>
    </row>
    <row r="4" spans="1:2">
      <c r="A4" t="s">
        <v>100</v>
      </c>
      <c r="B4" t="s">
        <v>128</v>
      </c>
    </row>
  </sheetData>
  <phoneticPr fontId="1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25" workbookViewId="0">
      <selection activeCell="D12" sqref="D12"/>
    </sheetView>
  </sheetViews>
  <sheetFormatPr defaultRowHeight="14.1"/>
  <cols>
    <col min="1" max="1" width="19.3125" bestFit="1" customWidth="1"/>
    <col min="2" max="2" width="88.5234375" bestFit="1" customWidth="1"/>
  </cols>
  <sheetData>
    <row r="1" spans="1:2">
      <c r="A1" t="s">
        <v>99</v>
      </c>
      <c r="B1" t="s">
        <v>132</v>
      </c>
    </row>
    <row r="2" spans="1:2">
      <c r="A2" t="s">
        <v>98</v>
      </c>
      <c r="B2" t="s">
        <v>152</v>
      </c>
    </row>
    <row r="3" spans="1:2" ht="42.3">
      <c r="A3" t="s">
        <v>102</v>
      </c>
      <c r="B3" s="17" t="s">
        <v>134</v>
      </c>
    </row>
    <row r="4" spans="1:2">
      <c r="A4" t="s">
        <v>100</v>
      </c>
      <c r="B4" t="s">
        <v>133</v>
      </c>
    </row>
  </sheetData>
  <phoneticPr fontId="1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"/>
  <sheetViews>
    <sheetView topLeftCell="A46" workbookViewId="0">
      <selection activeCell="K8" sqref="K8"/>
    </sheetView>
  </sheetViews>
  <sheetFormatPr defaultRowHeight="14.1"/>
  <cols>
    <col min="1" max="1" width="19.3125" bestFit="1" customWidth="1"/>
  </cols>
  <sheetData>
    <row r="1" spans="1:2">
      <c r="A1" t="s">
        <v>99</v>
      </c>
      <c r="B1" t="s">
        <v>181</v>
      </c>
    </row>
    <row r="2" spans="1:2">
      <c r="A2" t="s">
        <v>98</v>
      </c>
      <c r="B2" s="31" t="s">
        <v>153</v>
      </c>
    </row>
    <row r="3" spans="1:2">
      <c r="A3" t="s">
        <v>102</v>
      </c>
      <c r="B3" t="s">
        <v>180</v>
      </c>
    </row>
    <row r="4" spans="1:2">
      <c r="A4" t="s">
        <v>100</v>
      </c>
    </row>
  </sheetData>
  <phoneticPr fontId="1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"/>
  <sheetViews>
    <sheetView topLeftCell="A25" workbookViewId="0">
      <selection activeCell="A2" sqref="A2"/>
    </sheetView>
  </sheetViews>
  <sheetFormatPr defaultRowHeight="14.1"/>
  <cols>
    <col min="1" max="1" width="92.89453125" bestFit="1" customWidth="1"/>
  </cols>
  <sheetData>
    <row r="1" spans="1:1">
      <c r="A1" t="s">
        <v>162</v>
      </c>
    </row>
    <row r="2" spans="1:1">
      <c r="A2" t="s">
        <v>299</v>
      </c>
    </row>
    <row r="3" spans="1:1">
      <c r="A3" t="s">
        <v>169</v>
      </c>
    </row>
    <row r="4" spans="1:1">
      <c r="A4" t="s">
        <v>100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47</vt:i4>
      </vt:variant>
    </vt:vector>
  </HeadingPairs>
  <TitlesOfParts>
    <vt:vector size="47" baseType="lpstr">
      <vt:lpstr>Master </vt:lpstr>
      <vt:lpstr>包裹1</vt:lpstr>
      <vt:lpstr>包裹2</vt:lpstr>
      <vt:lpstr>包裹3</vt:lpstr>
      <vt:lpstr>包裹4</vt:lpstr>
      <vt:lpstr>包裹5</vt:lpstr>
      <vt:lpstr>包裹6</vt:lpstr>
      <vt:lpstr>包裹7</vt:lpstr>
      <vt:lpstr>包裹8</vt:lpstr>
      <vt:lpstr>包裹9</vt:lpstr>
      <vt:lpstr>包裹10</vt:lpstr>
      <vt:lpstr>包裹11</vt:lpstr>
      <vt:lpstr>包裹12</vt:lpstr>
      <vt:lpstr>包裹13</vt:lpstr>
      <vt:lpstr>包裹14</vt:lpstr>
      <vt:lpstr>包裹15</vt:lpstr>
      <vt:lpstr>包裹16</vt:lpstr>
      <vt:lpstr>包裹17</vt:lpstr>
      <vt:lpstr>包裹18</vt:lpstr>
      <vt:lpstr>包裹19</vt:lpstr>
      <vt:lpstr>包裹20</vt:lpstr>
      <vt:lpstr>包裹21</vt:lpstr>
      <vt:lpstr>包裹22</vt:lpstr>
      <vt:lpstr>包裹23</vt:lpstr>
      <vt:lpstr>包裹24</vt:lpstr>
      <vt:lpstr>包裹25</vt:lpstr>
      <vt:lpstr>包裹26</vt:lpstr>
      <vt:lpstr>包裹27</vt:lpstr>
      <vt:lpstr>包裹28</vt:lpstr>
      <vt:lpstr>包裹29</vt:lpstr>
      <vt:lpstr>包裹30</vt:lpstr>
      <vt:lpstr>包裹31</vt:lpstr>
      <vt:lpstr>包裹32</vt:lpstr>
      <vt:lpstr>包裹33</vt:lpstr>
      <vt:lpstr>包裹34</vt:lpstr>
      <vt:lpstr>包裹35</vt:lpstr>
      <vt:lpstr>包裹36</vt:lpstr>
      <vt:lpstr>包裹37</vt:lpstr>
      <vt:lpstr>包裹38</vt:lpstr>
      <vt:lpstr>包裹39</vt:lpstr>
      <vt:lpstr>包裹40</vt:lpstr>
      <vt:lpstr>包裹41</vt:lpstr>
      <vt:lpstr>包裹42</vt:lpstr>
      <vt:lpstr>包裹43</vt:lpstr>
      <vt:lpstr>包裹44</vt:lpstr>
      <vt:lpstr>包裹45</vt:lpstr>
      <vt:lpstr>Sheet1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2006-09-13T11:21:51Z</dcterms:created>
  <dcterms:modified xsi:type="dcterms:W3CDTF">2015-01-26T06:47:53Z</dcterms:modified>
</cp:coreProperties>
</file>